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ічень" sheetId="1" r:id="rId1"/>
  </sheets>
  <definedNames>
    <definedName name="_xlnm.Print_Area" localSheetId="0">'січень'!$A$1:$R$83</definedName>
  </definedNames>
  <calcPr fullCalcOnLoad="1"/>
</workbook>
</file>

<file path=xl/sharedStrings.xml><?xml version="1.0" encoding="utf-8"?>
<sst xmlns="http://schemas.openxmlformats.org/spreadsheetml/2006/main" count="121" uniqueCount="115">
  <si>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</si>
  <si>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</si>
  <si>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</si>
  <si>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</si>
  <si>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</si>
  <si>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</si>
  <si>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</si>
  <si>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</si>
  <si>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</si>
  <si>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</si>
  <si>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</si>
  <si>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</si>
  <si>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</si>
  <si>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</si>
  <si>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</si>
  <si>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</si>
  <si>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</si>
  <si>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</si>
  <si>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</si>
  <si>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</si>
  <si>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</si>
  <si>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</si>
  <si>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</si>
  <si>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</si>
  <si>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</si>
  <si>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</si>
  <si>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</si>
  <si>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</si>
  <si>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</si>
  <si>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</si>
  <si>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</si>
  <si>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</si>
  <si>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</si>
  <si>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</si>
  <si>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</si>
  <si>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</si>
  <si>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</si>
  <si>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</si>
  <si>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</si>
  <si>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</si>
  <si>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</si>
  <si>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</si>
  <si>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</si>
  <si>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</si>
  <si>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</si>
  <si>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</si>
  <si>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</si>
  <si>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</si>
  <si>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</si>
  <si>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</si>
  <si>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</si>
  <si>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</si>
  <si>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</si>
  <si>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</si>
  <si>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</si>
  <si>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</si>
  <si>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</si>
  <si>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</si>
  <si>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</si>
  <si>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</si>
  <si>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</si>
  <si>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</si>
  <si>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</si>
  <si>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</si>
  <si>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</si>
  <si>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</si>
  <si>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</si>
  <si>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Динаміка  фактичних надходжень січень 2013 та 2014 років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</si>
  <si>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</si>
  <si>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</si>
  <si>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</si>
  <si>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</si>
  <si>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</si>
  <si>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</si>
  <si>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</si>
  <si>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</si>
  <si>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</si>
  <si>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</si>
  <si>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</si>
  <si>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</si>
  <si>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</si>
  <si>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</si>
  <si>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</si>
  <si>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</si>
  <si>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</si>
  <si>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</si>
  <si>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</si>
  <si>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</si>
  <si>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</si>
  <si>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</si>
  <si>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</si>
  <si>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</si>
  <si>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</si>
  <si>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</si>
  <si>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</si>
  <si>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</si>
  <si>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</si>
  <si>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</si>
  <si>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</si>
  <si>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</si>
  <si>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</si>
  <si>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</si>
  <si>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</si>
  <si>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</si>
  <si>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</si>
  <si>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</si>
  <si>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</si>
  <si>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</si>
  <si>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</si>
  <si>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</si>
  <si>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</si>
  <si>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</si>
  <si>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 2015 рік</t>
    </r>
  </si>
  <si>
    <t>Плата за гарантії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</si>
  <si>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12.01.2016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</si>
</sst>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25" fillId="0" borderId="10" xfId="54" applyFont="1" applyFill="1" applyBorder="1" applyAlignment="1" applyProtection="1">
      <alignment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5" borderId="13" xfId="0" applyNumberFormat="1" applyFont="1" applyFill="1" applyBorder="1" applyAlignment="1" applyProtection="1">
      <alignment horizontal="center" vertical="center" wrapText="1"/>
      <protection/>
    </xf>
    <xf numFmtId="182" fontId="25" fillId="35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tabSelected="1"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82" sqref="E8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00390625" style="4" hidden="1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51" t="s">
        <v>114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92"/>
      <c r="R1" s="93"/>
    </row>
    <row r="2" spans="2:18" s="1" customFormat="1" ht="15.75" customHeight="1">
      <c r="B2" s="152"/>
      <c r="C2" s="152"/>
      <c r="D2" s="1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53"/>
      <c r="B3" s="155"/>
      <c r="C3" s="156" t="s">
        <v>0</v>
      </c>
      <c r="D3" s="157" t="s">
        <v>112</v>
      </c>
      <c r="E3" s="34"/>
      <c r="F3" s="158" t="s">
        <v>26</v>
      </c>
      <c r="G3" s="159"/>
      <c r="H3" s="159"/>
      <c r="I3" s="159"/>
      <c r="J3" s="160"/>
      <c r="K3" s="89"/>
      <c r="L3" s="89"/>
      <c r="M3" s="161" t="s">
        <v>108</v>
      </c>
      <c r="N3" s="164" t="s">
        <v>66</v>
      </c>
      <c r="O3" s="164"/>
      <c r="P3" s="164"/>
      <c r="Q3" s="164"/>
      <c r="R3" s="164"/>
    </row>
    <row r="4" spans="1:18" ht="22.5" customHeight="1">
      <c r="A4" s="153"/>
      <c r="B4" s="155"/>
      <c r="C4" s="156"/>
      <c r="D4" s="157"/>
      <c r="E4" s="165" t="s">
        <v>105</v>
      </c>
      <c r="F4" s="167" t="s">
        <v>34</v>
      </c>
      <c r="G4" s="169" t="s">
        <v>110</v>
      </c>
      <c r="H4" s="162" t="s">
        <v>111</v>
      </c>
      <c r="I4" s="169" t="s">
        <v>106</v>
      </c>
      <c r="J4" s="162" t="s">
        <v>107</v>
      </c>
      <c r="K4" s="91" t="s">
        <v>65</v>
      </c>
      <c r="L4" s="96" t="s">
        <v>64</v>
      </c>
      <c r="M4" s="162"/>
      <c r="N4" s="178" t="s">
        <v>104</v>
      </c>
      <c r="O4" s="169" t="s">
        <v>50</v>
      </c>
      <c r="P4" s="173" t="s">
        <v>49</v>
      </c>
      <c r="Q4" s="97" t="s">
        <v>65</v>
      </c>
      <c r="R4" s="98" t="s">
        <v>64</v>
      </c>
    </row>
    <row r="5" spans="1:18" ht="92.25" customHeight="1">
      <c r="A5" s="154"/>
      <c r="B5" s="155"/>
      <c r="C5" s="156"/>
      <c r="D5" s="157"/>
      <c r="E5" s="166"/>
      <c r="F5" s="168"/>
      <c r="G5" s="170"/>
      <c r="H5" s="163"/>
      <c r="I5" s="170"/>
      <c r="J5" s="163"/>
      <c r="K5" s="171" t="s">
        <v>109</v>
      </c>
      <c r="L5" s="172"/>
      <c r="M5" s="163"/>
      <c r="N5" s="179"/>
      <c r="O5" s="170"/>
      <c r="P5" s="173"/>
      <c r="Q5" s="171" t="s">
        <v>67</v>
      </c>
      <c r="R5" s="17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69</v>
      </c>
      <c r="M6" s="10" t="s">
        <v>70</v>
      </c>
      <c r="N6" s="10" t="s">
        <v>71</v>
      </c>
      <c r="O6" s="10" t="s">
        <v>72</v>
      </c>
      <c r="P6" s="10" t="s">
        <v>73</v>
      </c>
      <c r="Q6" s="10" t="s">
        <v>74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155316.4</v>
      </c>
      <c r="E8" s="15">
        <f>E9+E15+E18+E19+E20+E32+E17</f>
        <v>52015.7</v>
      </c>
      <c r="F8" s="15">
        <f>F9+F15+F18+F19+F20+F32+F17</f>
        <v>8380.720000000001</v>
      </c>
      <c r="G8" s="15">
        <f>F8-E8</f>
        <v>-43634.979999999996</v>
      </c>
      <c r="H8" s="38">
        <f>F8/E8*100</f>
        <v>16.111904674934685</v>
      </c>
      <c r="I8" s="28">
        <f>F8-D8</f>
        <v>-146935.68</v>
      </c>
      <c r="J8" s="28">
        <f>F8/D8*100</f>
        <v>5.395901527462652</v>
      </c>
      <c r="K8" s="15">
        <f>K9+K15+K18+K19+K20+K32</f>
        <v>-29333.59</v>
      </c>
      <c r="L8" s="15"/>
      <c r="M8" s="15">
        <f>M9+M15+M18+M19+M20+M32+M17</f>
        <v>52015.7</v>
      </c>
      <c r="N8" s="15">
        <f>N9+N15+N18+N19+N20+N32+N17</f>
        <v>8380.720000000001</v>
      </c>
      <c r="O8" s="15">
        <f>N8-M8</f>
        <v>-43634.979999999996</v>
      </c>
      <c r="P8" s="15">
        <f>N8/M8*100</f>
        <v>16.111904674934685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83</v>
      </c>
      <c r="C9" s="48">
        <v>11010000</v>
      </c>
      <c r="D9" s="33">
        <v>78710</v>
      </c>
      <c r="E9" s="33">
        <v>26780</v>
      </c>
      <c r="F9" s="117">
        <v>5123</v>
      </c>
      <c r="G9" s="36">
        <f>F9-E9</f>
        <v>-21657</v>
      </c>
      <c r="H9" s="32">
        <f>F9/E9*100</f>
        <v>19.12994772218073</v>
      </c>
      <c r="I9" s="42">
        <f>F9-D9</f>
        <v>-73587</v>
      </c>
      <c r="J9" s="42">
        <f>F9/D9*100</f>
        <v>6.50870283318511</v>
      </c>
      <c r="K9" s="106">
        <f>F9-23209.38</f>
        <v>-18086.38</v>
      </c>
      <c r="L9" s="106">
        <f>F9/23209.38*100</f>
        <v>22.07297222071421</v>
      </c>
      <c r="M9" s="32">
        <f>E9</f>
        <v>26780</v>
      </c>
      <c r="N9" s="32">
        <f>F9</f>
        <v>5123</v>
      </c>
      <c r="O9" s="40">
        <f>N9-M9</f>
        <v>-21657</v>
      </c>
      <c r="P9" s="42">
        <f>N9/M9*100</f>
        <v>19.12994772218073</v>
      </c>
      <c r="Q9" s="106">
        <f>N9-26568.11</f>
        <v>-21445.11</v>
      </c>
      <c r="R9" s="107">
        <f>N9/26568.11</f>
        <v>0.19282515767963923</v>
      </c>
    </row>
    <row r="10" spans="1:18" s="6" customFormat="1" ht="15" hidden="1">
      <c r="A10" s="8"/>
      <c r="B10" s="137" t="s">
        <v>94</v>
      </c>
      <c r="C10" s="108">
        <v>11010100</v>
      </c>
      <c r="D10" s="109">
        <v>70800</v>
      </c>
      <c r="E10" s="109">
        <v>23800</v>
      </c>
      <c r="F10" s="118">
        <v>5068.6</v>
      </c>
      <c r="G10" s="109" t="e">
        <f>#N/A</f>
        <v>#N/A</v>
      </c>
      <c r="H10" s="32">
        <f aca="true" t="shared" si="0" ref="H10:H32">F10/E10*100</f>
        <v>21.296638655462186</v>
      </c>
      <c r="I10" s="42">
        <f aca="true" t="shared" si="1" ref="I10:I32">F10-D10</f>
        <v>-65731.4</v>
      </c>
      <c r="J10" s="42">
        <f aca="true" t="shared" si="2" ref="J10:J32">F10/D10*100</f>
        <v>7.1590395480226</v>
      </c>
      <c r="K10" s="112">
        <f>F10-310040.1/75*60</f>
        <v>-242963.47999999995</v>
      </c>
      <c r="L10" s="112">
        <f>F10/(310040.1/75*60)*100</f>
        <v>2.0435259826067664</v>
      </c>
      <c r="M10" s="111">
        <f aca="true" t="shared" si="3" ref="M10:M15">E10</f>
        <v>23800</v>
      </c>
      <c r="N10" s="111">
        <f aca="true" t="shared" si="4" ref="N10:N32">F10</f>
        <v>5068.6</v>
      </c>
      <c r="O10" s="40">
        <f aca="true" t="shared" si="5" ref="O10:O32">N10-M10</f>
        <v>-18731.4</v>
      </c>
      <c r="P10" s="42">
        <f aca="true" t="shared" si="6" ref="P10:P32">N10/M10*100</f>
        <v>21.296638655462186</v>
      </c>
      <c r="Q10" s="42"/>
      <c r="R10" s="100"/>
    </row>
    <row r="11" spans="1:18" s="6" customFormat="1" ht="15" hidden="1">
      <c r="A11" s="8"/>
      <c r="B11" s="137" t="s">
        <v>90</v>
      </c>
      <c r="C11" s="108">
        <v>11010200</v>
      </c>
      <c r="D11" s="109">
        <v>4200</v>
      </c>
      <c r="E11" s="109">
        <v>1500</v>
      </c>
      <c r="F11" s="118">
        <v>0</v>
      </c>
      <c r="G11" s="109" t="e">
        <f>#N/A</f>
        <v>#N/A</v>
      </c>
      <c r="H11" s="32">
        <f t="shared" si="0"/>
        <v>0</v>
      </c>
      <c r="I11" s="42">
        <f t="shared" si="1"/>
        <v>-4200</v>
      </c>
      <c r="J11" s="42">
        <f t="shared" si="2"/>
        <v>0</v>
      </c>
      <c r="K11" s="112">
        <f>F11-24192.03/75*60</f>
        <v>-19353.623999999996</v>
      </c>
      <c r="L11" s="112">
        <f>F11/(24192.03/75*60)*100</f>
        <v>0</v>
      </c>
      <c r="M11" s="111">
        <f t="shared" si="3"/>
        <v>1500</v>
      </c>
      <c r="N11" s="111">
        <f t="shared" si="4"/>
        <v>0</v>
      </c>
      <c r="O11" s="40">
        <f t="shared" si="5"/>
        <v>-1500</v>
      </c>
      <c r="P11" s="42">
        <f t="shared" si="6"/>
        <v>0</v>
      </c>
      <c r="Q11" s="42"/>
      <c r="R11" s="100"/>
    </row>
    <row r="12" spans="1:18" s="6" customFormat="1" ht="15" hidden="1">
      <c r="A12" s="8"/>
      <c r="B12" s="137" t="s">
        <v>93</v>
      </c>
      <c r="C12" s="108">
        <v>11010400</v>
      </c>
      <c r="D12" s="109">
        <v>1220</v>
      </c>
      <c r="E12" s="109">
        <v>650</v>
      </c>
      <c r="F12" s="118">
        <v>43.4</v>
      </c>
      <c r="G12" s="109" t="e">
        <f>#N/A</f>
        <v>#N/A</v>
      </c>
      <c r="H12" s="32">
        <f t="shared" si="0"/>
        <v>6.676923076923076</v>
      </c>
      <c r="I12" s="42">
        <f t="shared" si="1"/>
        <v>-1176.6</v>
      </c>
      <c r="J12" s="42">
        <f t="shared" si="2"/>
        <v>3.5573770491803276</v>
      </c>
      <c r="K12" s="112">
        <f>F12-6123.95/75*60</f>
        <v>-4855.76</v>
      </c>
      <c r="L12" s="112">
        <f>F12/(6123.95*60)*100</f>
        <v>0.011811548646434626</v>
      </c>
      <c r="M12" s="111">
        <f t="shared" si="3"/>
        <v>650</v>
      </c>
      <c r="N12" s="111">
        <f t="shared" si="4"/>
        <v>43.4</v>
      </c>
      <c r="O12" s="40">
        <f t="shared" si="5"/>
        <v>-606.6</v>
      </c>
      <c r="P12" s="42">
        <f t="shared" si="6"/>
        <v>6.676923076923076</v>
      </c>
      <c r="Q12" s="42"/>
      <c r="R12" s="100"/>
    </row>
    <row r="13" spans="1:18" s="6" customFormat="1" ht="15" hidden="1">
      <c r="A13" s="8"/>
      <c r="B13" s="137" t="s">
        <v>91</v>
      </c>
      <c r="C13" s="108">
        <v>11010500</v>
      </c>
      <c r="D13" s="109">
        <v>690</v>
      </c>
      <c r="E13" s="109">
        <v>230</v>
      </c>
      <c r="F13" s="118">
        <v>11</v>
      </c>
      <c r="G13" s="109" t="e">
        <f>#N/A</f>
        <v>#N/A</v>
      </c>
      <c r="H13" s="32">
        <f t="shared" si="0"/>
        <v>4.782608695652174</v>
      </c>
      <c r="I13" s="42">
        <f t="shared" si="1"/>
        <v>-679</v>
      </c>
      <c r="J13" s="42">
        <f t="shared" si="2"/>
        <v>1.5942028985507246</v>
      </c>
      <c r="K13" s="112">
        <f>F13-8694.58/75*60</f>
        <v>-6944.664</v>
      </c>
      <c r="L13" s="112">
        <f>F13/(8694.58/75*60)*100</f>
        <v>0.15814449921675344</v>
      </c>
      <c r="M13" s="111">
        <f t="shared" si="3"/>
        <v>230</v>
      </c>
      <c r="N13" s="111">
        <f t="shared" si="4"/>
        <v>11</v>
      </c>
      <c r="O13" s="40">
        <f t="shared" si="5"/>
        <v>-219</v>
      </c>
      <c r="P13" s="42">
        <f t="shared" si="6"/>
        <v>4.782608695652174</v>
      </c>
      <c r="Q13" s="42"/>
      <c r="R13" s="100"/>
    </row>
    <row r="14" spans="1:18" s="6" customFormat="1" ht="15" hidden="1">
      <c r="A14" s="8"/>
      <c r="B14" s="137" t="s">
        <v>92</v>
      </c>
      <c r="C14" s="108">
        <v>11010900</v>
      </c>
      <c r="D14" s="109">
        <v>1800</v>
      </c>
      <c r="E14" s="109">
        <v>600</v>
      </c>
      <c r="F14" s="118">
        <v>0</v>
      </c>
      <c r="G14" s="109" t="e">
        <f>#N/A</f>
        <v>#N/A</v>
      </c>
      <c r="H14" s="32">
        <f t="shared" si="0"/>
        <v>0</v>
      </c>
      <c r="I14" s="42">
        <f t="shared" si="1"/>
        <v>-1800</v>
      </c>
      <c r="J14" s="42">
        <f t="shared" si="2"/>
        <v>0</v>
      </c>
      <c r="K14" s="112">
        <f>F14-146.72/75*60</f>
        <v>-117.37599999999999</v>
      </c>
      <c r="L14" s="112">
        <f>F14/(146.72/75*60)*100</f>
        <v>0</v>
      </c>
      <c r="M14" s="111">
        <f t="shared" si="3"/>
        <v>600</v>
      </c>
      <c r="N14" s="111">
        <f t="shared" si="4"/>
        <v>0</v>
      </c>
      <c r="O14" s="40">
        <f t="shared" si="5"/>
        <v>-600</v>
      </c>
      <c r="P14" s="42">
        <f t="shared" si="6"/>
        <v>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17">
        <v>0</v>
      </c>
      <c r="G15" s="36">
        <f>F15-E15</f>
        <v>0</v>
      </c>
      <c r="H15" s="32"/>
      <c r="I15" s="42">
        <f t="shared" si="1"/>
        <v>-100</v>
      </c>
      <c r="J15" s="42">
        <f t="shared" si="2"/>
        <v>0</v>
      </c>
      <c r="K15" s="43">
        <f>F15-(-566.34)</f>
        <v>566.34</v>
      </c>
      <c r="L15" s="43">
        <f>F15/(-566.34)*100</f>
        <v>0</v>
      </c>
      <c r="M15" s="32">
        <f t="shared" si="3"/>
        <v>0</v>
      </c>
      <c r="N15" s="32">
        <f t="shared" si="4"/>
        <v>0</v>
      </c>
      <c r="O15" s="40">
        <f t="shared" si="5"/>
        <v>0</v>
      </c>
      <c r="P15" s="42"/>
      <c r="Q15" s="42">
        <f>N15-358.81</f>
        <v>-358.81</v>
      </c>
      <c r="R15" s="100">
        <f>N15/358.81</f>
        <v>0</v>
      </c>
    </row>
    <row r="16" spans="1:18" s="6" customFormat="1" ht="15" hidden="1">
      <c r="A16" s="8"/>
      <c r="B16" s="55" t="s">
        <v>68</v>
      </c>
      <c r="C16" s="108">
        <v>11010232</v>
      </c>
      <c r="D16" s="109">
        <v>0</v>
      </c>
      <c r="E16" s="109">
        <v>0</v>
      </c>
      <c r="F16" s="118">
        <v>0</v>
      </c>
      <c r="G16" s="36">
        <f aca="true" t="shared" si="7" ref="G16:G21">F16-E16</f>
        <v>0</v>
      </c>
      <c r="H16" s="32" t="e">
        <f t="shared" si="0"/>
        <v>#DIV/0!</v>
      </c>
      <c r="I16" s="42">
        <f t="shared" si="1"/>
        <v>0</v>
      </c>
      <c r="J16" s="42" t="e">
        <f t="shared" si="2"/>
        <v>#DIV/0!</v>
      </c>
      <c r="K16" s="112">
        <f>F16-(-381.9)</f>
        <v>381.9</v>
      </c>
      <c r="L16" s="112">
        <f>F16/(-381.9)*100</f>
        <v>0</v>
      </c>
      <c r="M16" s="32">
        <f aca="true" t="shared" si="8" ref="M16:M32">E16</f>
        <v>0</v>
      </c>
      <c r="N16" s="32">
        <f t="shared" si="4"/>
        <v>0</v>
      </c>
      <c r="O16" s="40">
        <f t="shared" si="5"/>
        <v>0</v>
      </c>
      <c r="P16" s="42" t="e">
        <f t="shared" si="6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89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7"/>
        <v>0</v>
      </c>
      <c r="H17" s="32"/>
      <c r="I17" s="42">
        <f t="shared" si="1"/>
        <v>0</v>
      </c>
      <c r="J17" s="42"/>
      <c r="K17" s="112">
        <f>F17-0</f>
        <v>0</v>
      </c>
      <c r="L17" s="112"/>
      <c r="M17" s="32">
        <f t="shared" si="8"/>
        <v>0</v>
      </c>
      <c r="N17" s="32">
        <f t="shared" si="4"/>
        <v>0</v>
      </c>
      <c r="O17" s="40">
        <f t="shared" si="5"/>
        <v>0</v>
      </c>
      <c r="P17" s="42"/>
      <c r="Q17" s="110"/>
      <c r="R17" s="115"/>
    </row>
    <row r="18" spans="1:18" s="6" customFormat="1" ht="30.75">
      <c r="A18" s="8"/>
      <c r="B18" s="13" t="s">
        <v>76</v>
      </c>
      <c r="C18" s="48">
        <v>13030200</v>
      </c>
      <c r="D18" s="33">
        <v>0</v>
      </c>
      <c r="E18" s="33">
        <v>0</v>
      </c>
      <c r="F18" s="117">
        <v>0</v>
      </c>
      <c r="G18" s="36">
        <f t="shared" si="7"/>
        <v>0</v>
      </c>
      <c r="H18" s="32"/>
      <c r="I18" s="42">
        <f t="shared" si="1"/>
        <v>0</v>
      </c>
      <c r="J18" s="42"/>
      <c r="K18" s="43">
        <f>F18-0.12</f>
        <v>-0.12</v>
      </c>
      <c r="L18" s="112">
        <f>F18/0.12*100</f>
        <v>0</v>
      </c>
      <c r="M18" s="32">
        <f t="shared" si="8"/>
        <v>0</v>
      </c>
      <c r="N18" s="32">
        <f t="shared" si="4"/>
        <v>0</v>
      </c>
      <c r="O18" s="40">
        <f t="shared" si="5"/>
        <v>0</v>
      </c>
      <c r="P18" s="42"/>
      <c r="Q18" s="42"/>
      <c r="R18" s="100"/>
    </row>
    <row r="19" spans="1:18" s="6" customFormat="1" ht="46.5">
      <c r="A19" s="8"/>
      <c r="B19" s="49" t="s">
        <v>75</v>
      </c>
      <c r="C19" s="48">
        <v>14040000</v>
      </c>
      <c r="D19" s="36">
        <v>21100</v>
      </c>
      <c r="E19" s="36">
        <v>7000</v>
      </c>
      <c r="F19" s="125">
        <v>31.1</v>
      </c>
      <c r="G19" s="36">
        <f t="shared" si="7"/>
        <v>-6968.9</v>
      </c>
      <c r="H19" s="32">
        <f t="shared" si="0"/>
        <v>0.44428571428571434</v>
      </c>
      <c r="I19" s="42">
        <f t="shared" si="1"/>
        <v>-21068.9</v>
      </c>
      <c r="J19" s="42">
        <f t="shared" si="2"/>
        <v>0.14739336492890998</v>
      </c>
      <c r="K19" s="133">
        <f>F19-0</f>
        <v>31.1</v>
      </c>
      <c r="L19" s="134"/>
      <c r="M19" s="32">
        <f t="shared" si="8"/>
        <v>7000</v>
      </c>
      <c r="N19" s="32">
        <f t="shared" si="4"/>
        <v>31.1</v>
      </c>
      <c r="O19" s="40">
        <f t="shared" si="5"/>
        <v>-6968.9</v>
      </c>
      <c r="P19" s="42">
        <f t="shared" si="6"/>
        <v>0.44428571428571434</v>
      </c>
      <c r="Q19" s="113"/>
      <c r="R19" s="114"/>
    </row>
    <row r="20" spans="1:18" s="6" customFormat="1" ht="15">
      <c r="A20" s="8"/>
      <c r="B20" s="130" t="s">
        <v>77</v>
      </c>
      <c r="C20" s="48">
        <v>18000000</v>
      </c>
      <c r="D20" s="36">
        <f>D21+D25+D27</f>
        <v>53373.5</v>
      </c>
      <c r="E20" s="36">
        <f>E21+E25+E27</f>
        <v>18234.5</v>
      </c>
      <c r="F20" s="126">
        <f>F21+F25+F27+F26</f>
        <v>3226.4199999999996</v>
      </c>
      <c r="G20" s="36">
        <f t="shared" si="7"/>
        <v>-15008.08</v>
      </c>
      <c r="H20" s="32">
        <f t="shared" si="0"/>
        <v>17.694041514711124</v>
      </c>
      <c r="I20" s="42">
        <f t="shared" si="1"/>
        <v>-50147.08</v>
      </c>
      <c r="J20" s="42">
        <f t="shared" si="2"/>
        <v>6.044984870769201</v>
      </c>
      <c r="K20" s="132">
        <f>K21+K25+K26+K27</f>
        <v>-11835.84</v>
      </c>
      <c r="L20" s="110">
        <f>F20/15062.3*100</f>
        <v>21.420500189214128</v>
      </c>
      <c r="M20" s="32">
        <f t="shared" si="8"/>
        <v>18234.5</v>
      </c>
      <c r="N20" s="32">
        <f t="shared" si="4"/>
        <v>3226.4199999999996</v>
      </c>
      <c r="O20" s="40">
        <f t="shared" si="5"/>
        <v>-15008.08</v>
      </c>
      <c r="P20" s="42">
        <f t="shared" si="6"/>
        <v>17.694041514711124</v>
      </c>
      <c r="Q20" s="113"/>
      <c r="R20" s="114"/>
    </row>
    <row r="21" spans="1:18" s="6" customFormat="1" ht="15">
      <c r="A21" s="8"/>
      <c r="B21" s="49" t="s">
        <v>85</v>
      </c>
      <c r="C21" s="127">
        <v>18010000</v>
      </c>
      <c r="D21" s="36">
        <f>D22+D23+D24</f>
        <v>32530</v>
      </c>
      <c r="E21" s="36">
        <f>E22+E23+E24</f>
        <v>9720</v>
      </c>
      <c r="F21" s="126">
        <f>F22+F23+F24</f>
        <v>340.7</v>
      </c>
      <c r="G21" s="36">
        <f t="shared" si="7"/>
        <v>-9379.3</v>
      </c>
      <c r="H21" s="32">
        <f t="shared" si="0"/>
        <v>3.5051440329218106</v>
      </c>
      <c r="I21" s="42">
        <f t="shared" si="1"/>
        <v>-32189.3</v>
      </c>
      <c r="J21" s="42">
        <f t="shared" si="2"/>
        <v>1.047340916077467</v>
      </c>
      <c r="K21" s="132">
        <f>K22+K23+K24</f>
        <v>-6241.9800000000005</v>
      </c>
      <c r="L21" s="110">
        <f>F21/6582.7*100</f>
        <v>5.175687787685904</v>
      </c>
      <c r="M21" s="32">
        <f t="shared" si="8"/>
        <v>9720</v>
      </c>
      <c r="N21" s="32">
        <f t="shared" si="4"/>
        <v>340.7</v>
      </c>
      <c r="O21" s="40">
        <f t="shared" si="5"/>
        <v>-9379.3</v>
      </c>
      <c r="P21" s="42">
        <f t="shared" si="6"/>
        <v>3.5051440329218106</v>
      </c>
      <c r="Q21" s="113"/>
      <c r="R21" s="114"/>
    </row>
    <row r="22" spans="1:18" s="6" customFormat="1" ht="15">
      <c r="A22" s="8"/>
      <c r="B22" s="55" t="s">
        <v>78</v>
      </c>
      <c r="C22" s="140"/>
      <c r="D22" s="109">
        <f>320+378+2002+600</f>
        <v>3300</v>
      </c>
      <c r="E22" s="109">
        <f>45+4+1+200</f>
        <v>250</v>
      </c>
      <c r="F22" s="118">
        <v>69</v>
      </c>
      <c r="G22" s="109">
        <f>F22-E22</f>
        <v>-181</v>
      </c>
      <c r="H22" s="111">
        <f t="shared" si="0"/>
        <v>27.6</v>
      </c>
      <c r="I22" s="110">
        <f t="shared" si="1"/>
        <v>-3231</v>
      </c>
      <c r="J22" s="110">
        <f t="shared" si="2"/>
        <v>2.090909090909091</v>
      </c>
      <c r="K22" s="110">
        <f>F22-84.67</f>
        <v>-15.670000000000002</v>
      </c>
      <c r="L22" s="110">
        <f>F22/84.67*100</f>
        <v>81.49285461202315</v>
      </c>
      <c r="M22" s="111">
        <f t="shared" si="8"/>
        <v>250</v>
      </c>
      <c r="N22" s="111">
        <f t="shared" si="4"/>
        <v>69</v>
      </c>
      <c r="O22" s="112">
        <f t="shared" si="5"/>
        <v>-181</v>
      </c>
      <c r="P22" s="110">
        <f t="shared" si="6"/>
        <v>27.6</v>
      </c>
      <c r="Q22" s="113"/>
      <c r="R22" s="114"/>
    </row>
    <row r="23" spans="1:18" s="6" customFormat="1" ht="15">
      <c r="A23" s="8"/>
      <c r="B23" s="55" t="s">
        <v>79</v>
      </c>
      <c r="C23" s="140"/>
      <c r="D23" s="109">
        <f>30+30</f>
        <v>60</v>
      </c>
      <c r="E23" s="109">
        <f>10+10</f>
        <v>20</v>
      </c>
      <c r="F23" s="118">
        <v>0</v>
      </c>
      <c r="G23" s="109">
        <f>F23-E23</f>
        <v>-20</v>
      </c>
      <c r="H23" s="111">
        <f t="shared" si="0"/>
        <v>0</v>
      </c>
      <c r="I23" s="110">
        <f t="shared" si="1"/>
        <v>-60</v>
      </c>
      <c r="J23" s="110">
        <f t="shared" si="2"/>
        <v>0</v>
      </c>
      <c r="K23" s="110">
        <f>F23-0</f>
        <v>0</v>
      </c>
      <c r="L23" s="110"/>
      <c r="M23" s="111">
        <f t="shared" si="8"/>
        <v>20</v>
      </c>
      <c r="N23" s="111">
        <f t="shared" si="4"/>
        <v>0</v>
      </c>
      <c r="O23" s="112">
        <f t="shared" si="5"/>
        <v>-20</v>
      </c>
      <c r="P23" s="110">
        <f t="shared" si="6"/>
        <v>0</v>
      </c>
      <c r="Q23" s="113"/>
      <c r="R23" s="114"/>
    </row>
    <row r="24" spans="1:18" s="6" customFormat="1" ht="15">
      <c r="A24" s="8"/>
      <c r="B24" s="55" t="s">
        <v>80</v>
      </c>
      <c r="C24" s="140"/>
      <c r="D24" s="109">
        <f>7700+17200+170+4100</f>
        <v>29170</v>
      </c>
      <c r="E24" s="109">
        <f>2500+5600+50+1300</f>
        <v>9450</v>
      </c>
      <c r="F24" s="118">
        <v>271.7</v>
      </c>
      <c r="G24" s="109">
        <f>F24-E24</f>
        <v>-9178.3</v>
      </c>
      <c r="H24" s="111">
        <f t="shared" si="0"/>
        <v>2.875132275132275</v>
      </c>
      <c r="I24" s="110">
        <f t="shared" si="1"/>
        <v>-28898.3</v>
      </c>
      <c r="J24" s="110">
        <f t="shared" si="2"/>
        <v>0.9314364072677408</v>
      </c>
      <c r="K24" s="144">
        <f>F24-6498.01</f>
        <v>-6226.31</v>
      </c>
      <c r="L24" s="144">
        <f>F24/6498.01*100</f>
        <v>4.18128011498905</v>
      </c>
      <c r="M24" s="111">
        <f t="shared" si="8"/>
        <v>9450</v>
      </c>
      <c r="N24" s="111">
        <f t="shared" si="4"/>
        <v>271.7</v>
      </c>
      <c r="O24" s="112">
        <f t="shared" si="5"/>
        <v>-9178.3</v>
      </c>
      <c r="P24" s="110">
        <f t="shared" si="6"/>
        <v>2.875132275132275</v>
      </c>
      <c r="Q24" s="113"/>
      <c r="R24" s="114"/>
    </row>
    <row r="25" spans="1:18" s="6" customFormat="1" ht="15">
      <c r="A25" s="8"/>
      <c r="B25" s="49" t="s">
        <v>86</v>
      </c>
      <c r="C25" s="127">
        <v>18030000</v>
      </c>
      <c r="D25" s="36">
        <v>36</v>
      </c>
      <c r="E25" s="36">
        <v>12</v>
      </c>
      <c r="F25" s="125">
        <v>0</v>
      </c>
      <c r="G25" s="36">
        <f>F25-E25</f>
        <v>-12</v>
      </c>
      <c r="H25" s="32">
        <f t="shared" si="0"/>
        <v>0</v>
      </c>
      <c r="I25" s="42">
        <f t="shared" si="1"/>
        <v>-36</v>
      </c>
      <c r="J25" s="42">
        <f t="shared" si="2"/>
        <v>0</v>
      </c>
      <c r="K25" s="132">
        <f>F25-2.4</f>
        <v>-2.4</v>
      </c>
      <c r="L25" s="132">
        <f>F25/2.4*100</f>
        <v>0</v>
      </c>
      <c r="M25" s="32">
        <f t="shared" si="8"/>
        <v>12</v>
      </c>
      <c r="N25" s="32">
        <f t="shared" si="4"/>
        <v>0</v>
      </c>
      <c r="O25" s="40">
        <f t="shared" si="5"/>
        <v>-12</v>
      </c>
      <c r="P25" s="42">
        <f t="shared" si="6"/>
        <v>0</v>
      </c>
      <c r="Q25" s="113"/>
      <c r="R25" s="114"/>
    </row>
    <row r="26" spans="1:18" s="6" customFormat="1" ht="49.5" customHeight="1">
      <c r="A26" s="8"/>
      <c r="B26" s="49" t="s">
        <v>87</v>
      </c>
      <c r="C26" s="127">
        <v>18040000</v>
      </c>
      <c r="D26" s="36"/>
      <c r="E26" s="36"/>
      <c r="F26" s="125">
        <v>0.62</v>
      </c>
      <c r="G26" s="36">
        <f aca="true" t="shared" si="9" ref="G26:G32">F26-E26</f>
        <v>0.62</v>
      </c>
      <c r="H26" s="32"/>
      <c r="I26" s="42">
        <f t="shared" si="1"/>
        <v>0.62</v>
      </c>
      <c r="J26" s="42"/>
      <c r="K26" s="132">
        <f>F26-142.7</f>
        <v>-142.07999999999998</v>
      </c>
      <c r="L26" s="132">
        <f>F26/142.7*100</f>
        <v>0.4344779257182902</v>
      </c>
      <c r="M26" s="32">
        <f t="shared" si="8"/>
        <v>0</v>
      </c>
      <c r="N26" s="32">
        <f t="shared" si="4"/>
        <v>0.62</v>
      </c>
      <c r="O26" s="40">
        <f t="shared" si="5"/>
        <v>0.62</v>
      </c>
      <c r="P26" s="42"/>
      <c r="Q26" s="113"/>
      <c r="R26" s="114"/>
    </row>
    <row r="27" spans="1:18" s="6" customFormat="1" ht="15">
      <c r="A27" s="8"/>
      <c r="B27" s="49" t="s">
        <v>88</v>
      </c>
      <c r="C27" s="127">
        <v>18050000</v>
      </c>
      <c r="D27" s="36">
        <v>20807.5</v>
      </c>
      <c r="E27" s="36">
        <v>8502.5</v>
      </c>
      <c r="F27" s="125">
        <v>2885.1</v>
      </c>
      <c r="G27" s="36">
        <f t="shared" si="9"/>
        <v>-5617.4</v>
      </c>
      <c r="H27" s="32">
        <f t="shared" si="0"/>
        <v>33.93237283152014</v>
      </c>
      <c r="I27" s="42">
        <f t="shared" si="1"/>
        <v>-17922.4</v>
      </c>
      <c r="J27" s="42">
        <f t="shared" si="2"/>
        <v>13.865673435059472</v>
      </c>
      <c r="K27" s="106">
        <f>F27-8334.48</f>
        <v>-5449.379999999999</v>
      </c>
      <c r="L27" s="106">
        <f>F27/8334.48*100</f>
        <v>34.61643677829931</v>
      </c>
      <c r="M27" s="32">
        <f t="shared" si="8"/>
        <v>8502.5</v>
      </c>
      <c r="N27" s="32">
        <f t="shared" si="4"/>
        <v>2885.1</v>
      </c>
      <c r="O27" s="40">
        <f t="shared" si="5"/>
        <v>-5617.4</v>
      </c>
      <c r="P27" s="42">
        <f t="shared" si="6"/>
        <v>33.93237283152014</v>
      </c>
      <c r="Q27" s="113"/>
      <c r="R27" s="114"/>
    </row>
    <row r="28" spans="1:18" s="6" customFormat="1" ht="15" hidden="1">
      <c r="A28" s="8"/>
      <c r="B28" s="55" t="s">
        <v>95</v>
      </c>
      <c r="C28" s="108">
        <v>18050200</v>
      </c>
      <c r="D28" s="109">
        <v>0</v>
      </c>
      <c r="E28" s="109">
        <v>0</v>
      </c>
      <c r="F28" s="118">
        <v>0</v>
      </c>
      <c r="G28" s="36">
        <f t="shared" si="9"/>
        <v>0</v>
      </c>
      <c r="H28" s="32" t="e">
        <f t="shared" si="0"/>
        <v>#DIV/0!</v>
      </c>
      <c r="I28" s="42">
        <f t="shared" si="1"/>
        <v>0</v>
      </c>
      <c r="J28" s="42" t="e">
        <f t="shared" si="2"/>
        <v>#DIV/0!</v>
      </c>
      <c r="K28" s="113">
        <f>F28-1.21</f>
        <v>-1.21</v>
      </c>
      <c r="L28" s="113">
        <f>F28/1.21*100</f>
        <v>0</v>
      </c>
      <c r="M28" s="32">
        <f t="shared" si="8"/>
        <v>0</v>
      </c>
      <c r="N28" s="32">
        <f t="shared" si="4"/>
        <v>0</v>
      </c>
      <c r="O28" s="40">
        <f t="shared" si="5"/>
        <v>0</v>
      </c>
      <c r="P28" s="42" t="e">
        <f t="shared" si="6"/>
        <v>#DIV/0!</v>
      </c>
      <c r="Q28" s="113"/>
      <c r="R28" s="114"/>
    </row>
    <row r="29" spans="1:18" s="6" customFormat="1" ht="15" hidden="1">
      <c r="A29" s="8"/>
      <c r="B29" s="55" t="s">
        <v>96</v>
      </c>
      <c r="C29" s="108">
        <v>18050300</v>
      </c>
      <c r="D29" s="109">
        <v>5800</v>
      </c>
      <c r="E29" s="109">
        <v>2500</v>
      </c>
      <c r="F29" s="118">
        <v>169.7</v>
      </c>
      <c r="G29" s="36">
        <f t="shared" si="9"/>
        <v>-2330.3</v>
      </c>
      <c r="H29" s="32">
        <f t="shared" si="0"/>
        <v>6.787999999999999</v>
      </c>
      <c r="I29" s="42">
        <f t="shared" si="1"/>
        <v>-5630.3</v>
      </c>
      <c r="J29" s="42">
        <f t="shared" si="2"/>
        <v>2.925862068965517</v>
      </c>
      <c r="K29" s="113">
        <f>F29-22211.27</f>
        <v>-22041.57</v>
      </c>
      <c r="L29" s="113">
        <f>F29/22211.27*100</f>
        <v>0.7640265504854067</v>
      </c>
      <c r="M29" s="32">
        <f t="shared" si="8"/>
        <v>2500</v>
      </c>
      <c r="N29" s="32">
        <f t="shared" si="4"/>
        <v>169.7</v>
      </c>
      <c r="O29" s="40">
        <f t="shared" si="5"/>
        <v>-2330.3</v>
      </c>
      <c r="P29" s="42">
        <f t="shared" si="6"/>
        <v>6.787999999999999</v>
      </c>
      <c r="Q29" s="113"/>
      <c r="R29" s="114"/>
    </row>
    <row r="30" spans="1:18" s="6" customFormat="1" ht="15" hidden="1">
      <c r="A30" s="8"/>
      <c r="B30" s="55" t="s">
        <v>97</v>
      </c>
      <c r="C30" s="108">
        <v>18050400</v>
      </c>
      <c r="D30" s="109">
        <v>15000</v>
      </c>
      <c r="E30" s="109">
        <v>6000</v>
      </c>
      <c r="F30" s="118">
        <v>2715.4</v>
      </c>
      <c r="G30" s="36">
        <f t="shared" si="9"/>
        <v>-3284.6</v>
      </c>
      <c r="H30" s="32">
        <f t="shared" si="0"/>
        <v>45.25666666666667</v>
      </c>
      <c r="I30" s="42">
        <f t="shared" si="1"/>
        <v>-12284.6</v>
      </c>
      <c r="J30" s="42">
        <f t="shared" si="2"/>
        <v>18.102666666666668</v>
      </c>
      <c r="K30" s="113">
        <f>F30-57105.32</f>
        <v>-54389.92</v>
      </c>
      <c r="L30" s="113">
        <f>F30/57105.32*100</f>
        <v>4.755073607852999</v>
      </c>
      <c r="M30" s="32">
        <f t="shared" si="8"/>
        <v>6000</v>
      </c>
      <c r="N30" s="32">
        <f t="shared" si="4"/>
        <v>2715.4</v>
      </c>
      <c r="O30" s="40">
        <f t="shared" si="5"/>
        <v>-3284.6</v>
      </c>
      <c r="P30" s="42">
        <f t="shared" si="6"/>
        <v>45.25666666666667</v>
      </c>
      <c r="Q30" s="113"/>
      <c r="R30" s="114"/>
    </row>
    <row r="31" spans="1:18" s="6" customFormat="1" ht="15" hidden="1">
      <c r="A31" s="8"/>
      <c r="B31" s="55" t="s">
        <v>98</v>
      </c>
      <c r="C31" s="108">
        <v>18050500</v>
      </c>
      <c r="D31" s="109">
        <v>7.5</v>
      </c>
      <c r="E31" s="109">
        <v>2.5</v>
      </c>
      <c r="F31" s="118">
        <v>0</v>
      </c>
      <c r="G31" s="36">
        <f t="shared" si="9"/>
        <v>-2.5</v>
      </c>
      <c r="H31" s="32">
        <f t="shared" si="0"/>
        <v>0</v>
      </c>
      <c r="I31" s="42">
        <f t="shared" si="1"/>
        <v>-7.5</v>
      </c>
      <c r="J31" s="42">
        <f t="shared" si="2"/>
        <v>0</v>
      </c>
      <c r="K31" s="113">
        <f>F31-0</f>
        <v>0</v>
      </c>
      <c r="L31" s="113"/>
      <c r="M31" s="32">
        <f t="shared" si="8"/>
        <v>2.5</v>
      </c>
      <c r="N31" s="32">
        <f t="shared" si="4"/>
        <v>0</v>
      </c>
      <c r="O31" s="40">
        <f t="shared" si="5"/>
        <v>-2.5</v>
      </c>
      <c r="P31" s="42">
        <f t="shared" si="6"/>
        <v>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25">
        <v>0.2</v>
      </c>
      <c r="G32" s="36">
        <f t="shared" si="9"/>
        <v>-1</v>
      </c>
      <c r="H32" s="32">
        <f t="shared" si="0"/>
        <v>16.666666666666668</v>
      </c>
      <c r="I32" s="42">
        <f t="shared" si="1"/>
        <v>-2032.7</v>
      </c>
      <c r="J32" s="42">
        <f t="shared" si="2"/>
        <v>0.009838162231295194</v>
      </c>
      <c r="K32" s="132">
        <f>F32-8.89</f>
        <v>-8.690000000000001</v>
      </c>
      <c r="L32" s="132">
        <f>F32/8.89*100</f>
        <v>2.249718785151856</v>
      </c>
      <c r="M32" s="32">
        <f t="shared" si="8"/>
        <v>1.2</v>
      </c>
      <c r="N32" s="32">
        <f t="shared" si="4"/>
        <v>0.2</v>
      </c>
      <c r="O32" s="40">
        <f t="shared" si="5"/>
        <v>-1</v>
      </c>
      <c r="P32" s="42">
        <f t="shared" si="6"/>
        <v>16.666666666666668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D34+D35+D36+D37+D38+D41+D42+D47+D48+D52+D40+D39</f>
        <v>6959.3</v>
      </c>
      <c r="E33" s="15">
        <f>E34+E35+E36+E37+E38+E41+E42+E47+E48+E52+E40+E39</f>
        <v>2316.1</v>
      </c>
      <c r="F33" s="15">
        <f>F34+F35+F36+F37+F38+F41+F42+F47+F48+F52+F40+F39+F51</f>
        <v>874.03</v>
      </c>
      <c r="G33" s="37">
        <f>F33-E33</f>
        <v>-1442.07</v>
      </c>
      <c r="H33" s="38">
        <f>F33/E33*100</f>
        <v>37.73714433746384</v>
      </c>
      <c r="I33" s="28">
        <f>F33-D33</f>
        <v>-6085.27</v>
      </c>
      <c r="J33" s="28">
        <f>F33/D33*100</f>
        <v>12.559165433305072</v>
      </c>
      <c r="K33" s="15">
        <f>K34+K35+K36+K37+K38+K41+K42+K47+K48+K52+K40</f>
        <v>-148.35</v>
      </c>
      <c r="L33" s="15"/>
      <c r="M33" s="15">
        <f>M34+M35+M36+M37+M38+M41+M42+M47+M48+M52+M40+M39</f>
        <v>2316.1</v>
      </c>
      <c r="N33" s="15">
        <f>N34+N35+N36+N37+N38+N41+N42+N47+N48+N52+N40+N39</f>
        <v>874.03</v>
      </c>
      <c r="O33" s="15">
        <f>N33/M33*100</f>
        <v>37.73714433746384</v>
      </c>
      <c r="P33" s="15">
        <f>N33/M33*100</f>
        <v>37.73714433746384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103</v>
      </c>
      <c r="C34" s="48">
        <v>21010301</v>
      </c>
      <c r="D34" s="33">
        <v>11</v>
      </c>
      <c r="E34" s="33">
        <v>0</v>
      </c>
      <c r="F34" s="117">
        <v>0</v>
      </c>
      <c r="G34" s="36">
        <f>F34-E34</f>
        <v>0</v>
      </c>
      <c r="H34" s="32"/>
      <c r="I34" s="42">
        <f>F34-D34</f>
        <v>-11</v>
      </c>
      <c r="J34" s="42">
        <f>F34/D34*100</f>
        <v>0</v>
      </c>
      <c r="K34" s="42">
        <f>F34-0</f>
        <v>0</v>
      </c>
      <c r="L34" s="42"/>
      <c r="M34" s="32">
        <f>E34</f>
        <v>0</v>
      </c>
      <c r="N34" s="32">
        <f>F34</f>
        <v>0</v>
      </c>
      <c r="O34" s="40">
        <f>N34-M34</f>
        <v>0</v>
      </c>
      <c r="P34" s="42"/>
      <c r="Q34" s="42">
        <f>N34-0</f>
        <v>0</v>
      </c>
      <c r="R34" s="100" t="e">
        <f>N34/0</f>
        <v>#DIV/0!</v>
      </c>
    </row>
    <row r="35" spans="1:18" s="6" customFormat="1" ht="30.75">
      <c r="A35" s="8"/>
      <c r="B35" s="146" t="s">
        <v>81</v>
      </c>
      <c r="C35" s="47">
        <v>21050000</v>
      </c>
      <c r="D35" s="33">
        <v>0</v>
      </c>
      <c r="E35" s="33">
        <v>0</v>
      </c>
      <c r="F35" s="117">
        <v>0</v>
      </c>
      <c r="G35" s="36">
        <f aca="true" t="shared" si="10" ref="G35:G54">F35-E35</f>
        <v>0</v>
      </c>
      <c r="H35" s="32"/>
      <c r="I35" s="42">
        <f aca="true" t="shared" si="11" ref="I35:I54">F35-D35</f>
        <v>0</v>
      </c>
      <c r="J35" s="42"/>
      <c r="K35" s="42">
        <f>F35-0</f>
        <v>0</v>
      </c>
      <c r="L35" s="42"/>
      <c r="M35" s="32">
        <f aca="true" t="shared" si="12" ref="M35:M54">E35</f>
        <v>0</v>
      </c>
      <c r="N35" s="32">
        <f aca="true" t="shared" si="13" ref="N35:N54">F35</f>
        <v>0</v>
      </c>
      <c r="O35" s="40">
        <f aca="true" t="shared" si="14" ref="O35:O54">N35-M35</f>
        <v>0</v>
      </c>
      <c r="P35" s="42"/>
      <c r="Q35" s="42">
        <f>N35-0</f>
        <v>0</v>
      </c>
      <c r="R35" s="100" t="e">
        <f>N35/0</f>
        <v>#DIV/0!</v>
      </c>
    </row>
    <row r="36" spans="1:18" s="6" customFormat="1" ht="15">
      <c r="A36" s="8"/>
      <c r="B36" s="146" t="s">
        <v>62</v>
      </c>
      <c r="C36" s="47">
        <v>21080500</v>
      </c>
      <c r="D36" s="33">
        <v>6</v>
      </c>
      <c r="E36" s="33">
        <v>2</v>
      </c>
      <c r="F36" s="117">
        <v>0</v>
      </c>
      <c r="G36" s="36">
        <f t="shared" si="10"/>
        <v>-2</v>
      </c>
      <c r="H36" s="32">
        <f aca="true" t="shared" si="15" ref="H36:H53">F36/E36*100</f>
        <v>0</v>
      </c>
      <c r="I36" s="42">
        <f t="shared" si="11"/>
        <v>-6</v>
      </c>
      <c r="J36" s="42">
        <f aca="true" t="shared" si="16" ref="J36:J53">F36/D36*100</f>
        <v>0</v>
      </c>
      <c r="K36" s="42">
        <f>F36-1.67</f>
        <v>-1.67</v>
      </c>
      <c r="L36" s="42">
        <f>F36/1.67*100</f>
        <v>0</v>
      </c>
      <c r="M36" s="32">
        <f t="shared" si="12"/>
        <v>2</v>
      </c>
      <c r="N36" s="32">
        <f t="shared" si="13"/>
        <v>0</v>
      </c>
      <c r="O36" s="40">
        <f t="shared" si="14"/>
        <v>-2</v>
      </c>
      <c r="P36" s="42">
        <f aca="true" t="shared" si="17" ref="P36:P53">N36/M36*100</f>
        <v>0</v>
      </c>
      <c r="Q36" s="42">
        <f>N36-4.23</f>
        <v>-4.23</v>
      </c>
      <c r="R36" s="100">
        <f>N36/4.23</f>
        <v>0</v>
      </c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17">
        <v>0</v>
      </c>
      <c r="G37" s="36">
        <f t="shared" si="10"/>
        <v>0</v>
      </c>
      <c r="H37" s="32"/>
      <c r="I37" s="42">
        <f t="shared" si="11"/>
        <v>0</v>
      </c>
      <c r="J37" s="42"/>
      <c r="K37" s="42">
        <f>F37-0</f>
        <v>0</v>
      </c>
      <c r="L37" s="42"/>
      <c r="M37" s="32">
        <f t="shared" si="12"/>
        <v>0</v>
      </c>
      <c r="N37" s="32">
        <f t="shared" si="13"/>
        <v>0</v>
      </c>
      <c r="O37" s="40">
        <f t="shared" si="14"/>
        <v>0</v>
      </c>
      <c r="P37" s="42"/>
      <c r="Q37" s="42">
        <f>N37-0</f>
        <v>0</v>
      </c>
      <c r="R37" s="100"/>
    </row>
    <row r="38" spans="1:18" s="6" customFormat="1" ht="15">
      <c r="A38" s="8"/>
      <c r="B38" s="147" t="s">
        <v>16</v>
      </c>
      <c r="C38" s="77">
        <v>21081100</v>
      </c>
      <c r="D38" s="33">
        <v>24</v>
      </c>
      <c r="E38" s="33">
        <v>8</v>
      </c>
      <c r="F38" s="117">
        <v>-9.1</v>
      </c>
      <c r="G38" s="36">
        <f t="shared" si="10"/>
        <v>-17.1</v>
      </c>
      <c r="H38" s="32">
        <f t="shared" si="15"/>
        <v>-113.75</v>
      </c>
      <c r="I38" s="42">
        <f t="shared" si="11"/>
        <v>-33.1</v>
      </c>
      <c r="J38" s="42">
        <f t="shared" si="16"/>
        <v>-37.916666666666664</v>
      </c>
      <c r="K38" s="42">
        <f>F38-7.6</f>
        <v>-16.7</v>
      </c>
      <c r="L38" s="42">
        <f>F38/7.6*100</f>
        <v>-119.73684210526316</v>
      </c>
      <c r="M38" s="32">
        <f t="shared" si="12"/>
        <v>8</v>
      </c>
      <c r="N38" s="32">
        <f t="shared" si="13"/>
        <v>-9.1</v>
      </c>
      <c r="O38" s="40">
        <f t="shared" si="14"/>
        <v>-17.1</v>
      </c>
      <c r="P38" s="42">
        <f t="shared" si="17"/>
        <v>-113.75</v>
      </c>
      <c r="Q38" s="42">
        <f>N38-9.02</f>
        <v>-18.119999999999997</v>
      </c>
      <c r="R38" s="100">
        <f>N38/9.02</f>
        <v>-1.0088691796008868</v>
      </c>
    </row>
    <row r="39" spans="1:18" s="6" customFormat="1" ht="46.5" hidden="1">
      <c r="A39" s="8"/>
      <c r="B39" s="147" t="s">
        <v>84</v>
      </c>
      <c r="C39" s="54">
        <v>21081500</v>
      </c>
      <c r="D39" s="33">
        <v>0</v>
      </c>
      <c r="E39" s="33"/>
      <c r="F39" s="117">
        <v>0</v>
      </c>
      <c r="G39" s="36">
        <f t="shared" si="10"/>
        <v>0</v>
      </c>
      <c r="H39" s="32" t="e">
        <f t="shared" si="15"/>
        <v>#DIV/0!</v>
      </c>
      <c r="I39" s="42">
        <f t="shared" si="11"/>
        <v>0</v>
      </c>
      <c r="J39" s="42" t="e">
        <f t="shared" si="16"/>
        <v>#DIV/0!</v>
      </c>
      <c r="K39" s="42">
        <f>F39-0</f>
        <v>0</v>
      </c>
      <c r="L39" s="42"/>
      <c r="M39" s="32">
        <f t="shared" si="12"/>
        <v>0</v>
      </c>
      <c r="N39" s="32">
        <f t="shared" si="13"/>
        <v>0</v>
      </c>
      <c r="O39" s="40">
        <f t="shared" si="14"/>
        <v>0</v>
      </c>
      <c r="P39" s="42" t="e">
        <f t="shared" si="17"/>
        <v>#DIV/0!</v>
      </c>
      <c r="Q39" s="42"/>
      <c r="R39" s="100"/>
    </row>
    <row r="40" spans="1:18" s="6" customFormat="1" ht="15">
      <c r="A40" s="8"/>
      <c r="B40" s="35" t="s">
        <v>82</v>
      </c>
      <c r="C40" s="77">
        <v>22012500</v>
      </c>
      <c r="D40" s="33">
        <v>2250</v>
      </c>
      <c r="E40" s="33">
        <v>750</v>
      </c>
      <c r="F40" s="117">
        <v>30.4</v>
      </c>
      <c r="G40" s="36">
        <f t="shared" si="10"/>
        <v>-719.6</v>
      </c>
      <c r="H40" s="32">
        <f t="shared" si="15"/>
        <v>4.053333333333333</v>
      </c>
      <c r="I40" s="42">
        <f t="shared" si="11"/>
        <v>-2219.6</v>
      </c>
      <c r="J40" s="42">
        <f t="shared" si="16"/>
        <v>1.3511111111111112</v>
      </c>
      <c r="K40" s="42">
        <f>F40-0</f>
        <v>30.4</v>
      </c>
      <c r="L40" s="42"/>
      <c r="M40" s="32">
        <f t="shared" si="12"/>
        <v>750</v>
      </c>
      <c r="N40" s="32">
        <f t="shared" si="13"/>
        <v>30.4</v>
      </c>
      <c r="O40" s="40">
        <f t="shared" si="14"/>
        <v>-719.6</v>
      </c>
      <c r="P40" s="42">
        <f t="shared" si="17"/>
        <v>4.053333333333333</v>
      </c>
      <c r="Q40" s="42"/>
      <c r="R40" s="100"/>
    </row>
    <row r="41" spans="1:18" s="6" customFormat="1" ht="30.75">
      <c r="A41" s="8"/>
      <c r="B41" s="147" t="s">
        <v>14</v>
      </c>
      <c r="C41" s="54">
        <v>22080401</v>
      </c>
      <c r="D41" s="33">
        <v>2100</v>
      </c>
      <c r="E41" s="33">
        <v>700</v>
      </c>
      <c r="F41" s="117">
        <v>716.23</v>
      </c>
      <c r="G41" s="36">
        <f t="shared" si="10"/>
        <v>16.230000000000018</v>
      </c>
      <c r="H41" s="32">
        <f t="shared" si="15"/>
        <v>102.31857142857143</v>
      </c>
      <c r="I41" s="42">
        <f t="shared" si="11"/>
        <v>-1383.77</v>
      </c>
      <c r="J41" s="42">
        <f t="shared" si="16"/>
        <v>34.10619047619048</v>
      </c>
      <c r="K41" s="42">
        <f>F41-690.7</f>
        <v>25.529999999999973</v>
      </c>
      <c r="L41" s="42">
        <f>F41/690.7*100</f>
        <v>103.69625018097581</v>
      </c>
      <c r="M41" s="32">
        <f t="shared" si="12"/>
        <v>700</v>
      </c>
      <c r="N41" s="32">
        <f t="shared" si="13"/>
        <v>716.23</v>
      </c>
      <c r="O41" s="40">
        <f t="shared" si="14"/>
        <v>16.230000000000018</v>
      </c>
      <c r="P41" s="42">
        <f t="shared" si="17"/>
        <v>102.31857142857143</v>
      </c>
      <c r="Q41" s="42">
        <f>N41-647.49</f>
        <v>68.74000000000001</v>
      </c>
      <c r="R41" s="100">
        <f>N41/647.49</f>
        <v>1.1061638017575561</v>
      </c>
    </row>
    <row r="42" spans="1:18" s="6" customFormat="1" ht="15">
      <c r="A42" s="8"/>
      <c r="B42" s="147" t="s">
        <v>15</v>
      </c>
      <c r="C42" s="48">
        <v>22090000</v>
      </c>
      <c r="D42" s="33">
        <v>1518.3</v>
      </c>
      <c r="E42" s="33">
        <v>506.1</v>
      </c>
      <c r="F42" s="117">
        <v>39.5</v>
      </c>
      <c r="G42" s="36">
        <f t="shared" si="10"/>
        <v>-466.6</v>
      </c>
      <c r="H42" s="32">
        <f t="shared" si="15"/>
        <v>7.804781663702825</v>
      </c>
      <c r="I42" s="42">
        <f t="shared" si="11"/>
        <v>-1478.8</v>
      </c>
      <c r="J42" s="42">
        <f t="shared" si="16"/>
        <v>2.601593887900942</v>
      </c>
      <c r="K42" s="42">
        <f>F42-59.21</f>
        <v>-19.71</v>
      </c>
      <c r="L42" s="42">
        <f>F42/59.21*100</f>
        <v>66.71170410403649</v>
      </c>
      <c r="M42" s="32">
        <f t="shared" si="12"/>
        <v>506.1</v>
      </c>
      <c r="N42" s="32">
        <f t="shared" si="13"/>
        <v>39.5</v>
      </c>
      <c r="O42" s="40">
        <f t="shared" si="14"/>
        <v>-466.6</v>
      </c>
      <c r="P42" s="42">
        <f t="shared" si="17"/>
        <v>7.804781663702825</v>
      </c>
      <c r="Q42" s="42">
        <f>N42-79.51</f>
        <v>-40.010000000000005</v>
      </c>
      <c r="R42" s="100">
        <f>N42/79.51</f>
        <v>0.49679285624449754</v>
      </c>
    </row>
    <row r="43" spans="1:18" s="6" customFormat="1" ht="15" hidden="1">
      <c r="A43" s="8"/>
      <c r="B43" s="55" t="s">
        <v>102</v>
      </c>
      <c r="C43" s="140">
        <v>22090100</v>
      </c>
      <c r="D43" s="109">
        <v>165</v>
      </c>
      <c r="E43" s="109">
        <v>55</v>
      </c>
      <c r="F43" s="118">
        <v>5.1</v>
      </c>
      <c r="G43" s="36">
        <f t="shared" si="10"/>
        <v>-49.9</v>
      </c>
      <c r="H43" s="32">
        <f t="shared" si="15"/>
        <v>9.272727272727273</v>
      </c>
      <c r="I43" s="42">
        <f t="shared" si="11"/>
        <v>-159.9</v>
      </c>
      <c r="J43" s="42">
        <f t="shared" si="16"/>
        <v>3.090909090909091</v>
      </c>
      <c r="K43" s="110">
        <f>F43-857.86</f>
        <v>-852.76</v>
      </c>
      <c r="L43" s="110">
        <f>F43/857.86*100</f>
        <v>0.5945025994917585</v>
      </c>
      <c r="M43" s="32">
        <f t="shared" si="12"/>
        <v>55</v>
      </c>
      <c r="N43" s="32">
        <f t="shared" si="13"/>
        <v>5.1</v>
      </c>
      <c r="O43" s="40">
        <f t="shared" si="14"/>
        <v>-49.9</v>
      </c>
      <c r="P43" s="42">
        <f t="shared" si="17"/>
        <v>9.272727272727273</v>
      </c>
      <c r="Q43" s="42"/>
      <c r="R43" s="100"/>
    </row>
    <row r="44" spans="1:18" s="6" customFormat="1" ht="15" hidden="1">
      <c r="A44" s="8"/>
      <c r="B44" s="55" t="s">
        <v>99</v>
      </c>
      <c r="C44" s="140">
        <v>22090200</v>
      </c>
      <c r="D44" s="109">
        <v>3</v>
      </c>
      <c r="E44" s="109">
        <v>1</v>
      </c>
      <c r="F44" s="118">
        <v>0</v>
      </c>
      <c r="G44" s="36">
        <f t="shared" si="10"/>
        <v>-1</v>
      </c>
      <c r="H44" s="32">
        <f t="shared" si="15"/>
        <v>0</v>
      </c>
      <c r="I44" s="42">
        <f t="shared" si="11"/>
        <v>-3</v>
      </c>
      <c r="J44" s="42">
        <f t="shared" si="16"/>
        <v>0</v>
      </c>
      <c r="K44" s="110">
        <f>F44-0</f>
        <v>0</v>
      </c>
      <c r="L44" s="110"/>
      <c r="M44" s="32">
        <f t="shared" si="12"/>
        <v>1</v>
      </c>
      <c r="N44" s="32">
        <f t="shared" si="13"/>
        <v>0</v>
      </c>
      <c r="O44" s="40">
        <f t="shared" si="14"/>
        <v>-1</v>
      </c>
      <c r="P44" s="42">
        <f t="shared" si="17"/>
        <v>0</v>
      </c>
      <c r="Q44" s="42"/>
      <c r="R44" s="100"/>
    </row>
    <row r="45" spans="1:18" s="6" customFormat="1" ht="15" hidden="1">
      <c r="A45" s="8"/>
      <c r="B45" s="55" t="s">
        <v>100</v>
      </c>
      <c r="C45" s="140">
        <v>22090300</v>
      </c>
      <c r="D45" s="109">
        <v>0.3</v>
      </c>
      <c r="E45" s="109">
        <v>0.1</v>
      </c>
      <c r="F45" s="118">
        <v>0</v>
      </c>
      <c r="G45" s="36">
        <f t="shared" si="10"/>
        <v>-0.1</v>
      </c>
      <c r="H45" s="32">
        <f t="shared" si="15"/>
        <v>0</v>
      </c>
      <c r="I45" s="42">
        <f t="shared" si="11"/>
        <v>-0.3</v>
      </c>
      <c r="J45" s="42">
        <f t="shared" si="16"/>
        <v>0</v>
      </c>
      <c r="K45" s="110">
        <f>F45-0</f>
        <v>0</v>
      </c>
      <c r="L45" s="110"/>
      <c r="M45" s="32">
        <f t="shared" si="12"/>
        <v>0.1</v>
      </c>
      <c r="N45" s="32">
        <f t="shared" si="13"/>
        <v>0</v>
      </c>
      <c r="O45" s="40">
        <f t="shared" si="14"/>
        <v>-0.1</v>
      </c>
      <c r="P45" s="42">
        <f t="shared" si="17"/>
        <v>0</v>
      </c>
      <c r="Q45" s="42"/>
      <c r="R45" s="100"/>
    </row>
    <row r="46" spans="1:18" s="6" customFormat="1" ht="15" hidden="1">
      <c r="A46" s="8"/>
      <c r="B46" s="55" t="s">
        <v>101</v>
      </c>
      <c r="C46" s="140">
        <v>22090400</v>
      </c>
      <c r="D46" s="109">
        <v>1350</v>
      </c>
      <c r="E46" s="109">
        <v>450</v>
      </c>
      <c r="F46" s="118">
        <v>34.5</v>
      </c>
      <c r="G46" s="36">
        <f t="shared" si="10"/>
        <v>-415.5</v>
      </c>
      <c r="H46" s="32">
        <f t="shared" si="15"/>
        <v>7.666666666666666</v>
      </c>
      <c r="I46" s="42">
        <f t="shared" si="11"/>
        <v>-1315.5</v>
      </c>
      <c r="J46" s="42">
        <f t="shared" si="16"/>
        <v>2.555555555555556</v>
      </c>
      <c r="K46" s="110">
        <f>F46-117.58</f>
        <v>-83.08</v>
      </c>
      <c r="L46" s="110">
        <f>F46/117.58*100</f>
        <v>29.341724783126384</v>
      </c>
      <c r="M46" s="32">
        <f t="shared" si="12"/>
        <v>450</v>
      </c>
      <c r="N46" s="32">
        <f t="shared" si="13"/>
        <v>34.5</v>
      </c>
      <c r="O46" s="40">
        <f t="shared" si="14"/>
        <v>-415.5</v>
      </c>
      <c r="P46" s="42">
        <f t="shared" si="17"/>
        <v>7.666666666666666</v>
      </c>
      <c r="Q46" s="42"/>
      <c r="R46" s="100"/>
    </row>
    <row r="47" spans="1:18" s="6" customFormat="1" ht="46.5">
      <c r="A47" s="8"/>
      <c r="B47" s="13" t="s">
        <v>17</v>
      </c>
      <c r="C47" s="11" t="s">
        <v>18</v>
      </c>
      <c r="D47" s="33">
        <v>0</v>
      </c>
      <c r="E47" s="33">
        <v>0</v>
      </c>
      <c r="F47" s="117">
        <v>0</v>
      </c>
      <c r="G47" s="36">
        <f t="shared" si="10"/>
        <v>0</v>
      </c>
      <c r="H47" s="32"/>
      <c r="I47" s="42">
        <f t="shared" si="11"/>
        <v>0</v>
      </c>
      <c r="J47" s="42"/>
      <c r="K47" s="42">
        <f>F47-0</f>
        <v>0</v>
      </c>
      <c r="L47" s="42"/>
      <c r="M47" s="32">
        <f t="shared" si="12"/>
        <v>0</v>
      </c>
      <c r="N47" s="32">
        <f t="shared" si="13"/>
        <v>0</v>
      </c>
      <c r="O47" s="40">
        <f t="shared" si="14"/>
        <v>0</v>
      </c>
      <c r="P47" s="42"/>
      <c r="Q47" s="42">
        <f>N47-0</f>
        <v>0</v>
      </c>
      <c r="R47" s="100"/>
    </row>
    <row r="48" spans="1:18" s="6" customFormat="1" ht="15.75" customHeight="1">
      <c r="A48" s="8"/>
      <c r="B48" s="148" t="s">
        <v>13</v>
      </c>
      <c r="C48" s="11" t="s">
        <v>19</v>
      </c>
      <c r="D48" s="33">
        <v>1050</v>
      </c>
      <c r="E48" s="33">
        <v>350</v>
      </c>
      <c r="F48" s="117">
        <v>97</v>
      </c>
      <c r="G48" s="36">
        <f t="shared" si="10"/>
        <v>-253</v>
      </c>
      <c r="H48" s="32">
        <f t="shared" si="15"/>
        <v>27.714285714285715</v>
      </c>
      <c r="I48" s="42">
        <f t="shared" si="11"/>
        <v>-953</v>
      </c>
      <c r="J48" s="42">
        <f t="shared" si="16"/>
        <v>9.238095238095239</v>
      </c>
      <c r="K48" s="42">
        <f>F48-263.2</f>
        <v>-166.2</v>
      </c>
      <c r="L48" s="42">
        <f>F48/3812.69*100</f>
        <v>2.5441355053780925</v>
      </c>
      <c r="M48" s="32">
        <f t="shared" si="12"/>
        <v>350</v>
      </c>
      <c r="N48" s="32">
        <f t="shared" si="13"/>
        <v>97</v>
      </c>
      <c r="O48" s="40">
        <f t="shared" si="14"/>
        <v>-253</v>
      </c>
      <c r="P48" s="42">
        <f t="shared" si="17"/>
        <v>27.714285714285715</v>
      </c>
      <c r="Q48" s="42">
        <f>N48-277.38</f>
        <v>-180.38</v>
      </c>
      <c r="R48" s="100">
        <f>N48/277.38</f>
        <v>0.3497007715047949</v>
      </c>
    </row>
    <row r="49" spans="1:18" s="6" customFormat="1" ht="15" hidden="1">
      <c r="A49" s="8"/>
      <c r="B49" s="12" t="s">
        <v>22</v>
      </c>
      <c r="C49" s="66" t="s">
        <v>23</v>
      </c>
      <c r="D49" s="33">
        <v>0</v>
      </c>
      <c r="E49" s="33">
        <v>0</v>
      </c>
      <c r="F49" s="117">
        <v>0</v>
      </c>
      <c r="G49" s="36">
        <f t="shared" si="10"/>
        <v>0</v>
      </c>
      <c r="H49" s="32" t="e">
        <f t="shared" si="15"/>
        <v>#DIV/0!</v>
      </c>
      <c r="I49" s="42">
        <f t="shared" si="11"/>
        <v>0</v>
      </c>
      <c r="J49" s="42" t="e">
        <f t="shared" si="16"/>
        <v>#DIV/0!</v>
      </c>
      <c r="K49" s="42"/>
      <c r="L49" s="42">
        <f>F49</f>
        <v>0</v>
      </c>
      <c r="M49" s="32">
        <f t="shared" si="12"/>
        <v>0</v>
      </c>
      <c r="N49" s="32">
        <f t="shared" si="13"/>
        <v>0</v>
      </c>
      <c r="O49" s="40">
        <f t="shared" si="14"/>
        <v>0</v>
      </c>
      <c r="P49" s="42" t="e">
        <f t="shared" si="17"/>
        <v>#DIV/0!</v>
      </c>
      <c r="Q49" s="42"/>
      <c r="R49" s="100">
        <f>N49/277.38</f>
        <v>0</v>
      </c>
    </row>
    <row r="50" spans="1:18" s="6" customFormat="1" ht="30.75">
      <c r="A50" s="8"/>
      <c r="B50" s="55" t="s">
        <v>43</v>
      </c>
      <c r="C50" s="66"/>
      <c r="D50" s="109"/>
      <c r="E50" s="109"/>
      <c r="F50" s="118">
        <v>34.3</v>
      </c>
      <c r="G50" s="36">
        <f t="shared" si="10"/>
        <v>34.3</v>
      </c>
      <c r="H50" s="32"/>
      <c r="I50" s="42">
        <f t="shared" si="11"/>
        <v>34.3</v>
      </c>
      <c r="J50" s="42"/>
      <c r="K50" s="112">
        <f>F50-82.7</f>
        <v>-48.400000000000006</v>
      </c>
      <c r="L50" s="112">
        <f>F50/82.7*100</f>
        <v>41.47521160822249</v>
      </c>
      <c r="M50" s="32">
        <f t="shared" si="12"/>
        <v>0</v>
      </c>
      <c r="N50" s="32">
        <f t="shared" si="13"/>
        <v>34.3</v>
      </c>
      <c r="O50" s="40">
        <f t="shared" si="14"/>
        <v>34.3</v>
      </c>
      <c r="P50" s="42"/>
      <c r="Q50" s="42">
        <f>N50-64.93</f>
        <v>-30.63000000000001</v>
      </c>
      <c r="R50" s="100">
        <f>N50/64.93</f>
        <v>0.5282612043739411</v>
      </c>
    </row>
    <row r="51" spans="1:18" s="6" customFormat="1" ht="15">
      <c r="A51" s="8"/>
      <c r="B51" s="148" t="s">
        <v>20</v>
      </c>
      <c r="C51" s="145" t="s">
        <v>21</v>
      </c>
      <c r="D51" s="36">
        <v>0</v>
      </c>
      <c r="E51" s="36">
        <v>0</v>
      </c>
      <c r="F51" s="125">
        <v>0</v>
      </c>
      <c r="G51" s="36">
        <f t="shared" si="10"/>
        <v>0</v>
      </c>
      <c r="H51" s="32"/>
      <c r="I51" s="42">
        <f t="shared" si="11"/>
        <v>0</v>
      </c>
      <c r="J51" s="42"/>
      <c r="K51" s="112"/>
      <c r="L51" s="112"/>
      <c r="M51" s="32">
        <f t="shared" si="12"/>
        <v>0</v>
      </c>
      <c r="N51" s="32">
        <f t="shared" si="13"/>
        <v>0</v>
      </c>
      <c r="O51" s="40">
        <f t="shared" si="14"/>
        <v>0</v>
      </c>
      <c r="P51" s="42"/>
      <c r="Q51" s="42"/>
      <c r="R51" s="100"/>
    </row>
    <row r="52" spans="1:18" s="6" customFormat="1" ht="44.25" customHeight="1">
      <c r="A52" s="8"/>
      <c r="B52" s="148" t="s">
        <v>44</v>
      </c>
      <c r="C52" s="48">
        <v>24061900</v>
      </c>
      <c r="D52" s="33">
        <v>0</v>
      </c>
      <c r="E52" s="33">
        <v>0</v>
      </c>
      <c r="F52" s="117">
        <v>0</v>
      </c>
      <c r="G52" s="36">
        <f t="shared" si="10"/>
        <v>0</v>
      </c>
      <c r="H52" s="32"/>
      <c r="I52" s="42">
        <f t="shared" si="11"/>
        <v>0</v>
      </c>
      <c r="J52" s="42"/>
      <c r="K52" s="42">
        <f>F52-0</f>
        <v>0</v>
      </c>
      <c r="L52" s="42"/>
      <c r="M52" s="32">
        <f t="shared" si="12"/>
        <v>0</v>
      </c>
      <c r="N52" s="32">
        <f t="shared" si="13"/>
        <v>0</v>
      </c>
      <c r="O52" s="40">
        <f t="shared" si="14"/>
        <v>0</v>
      </c>
      <c r="P52" s="42"/>
      <c r="Q52" s="42"/>
      <c r="R52" s="100"/>
    </row>
    <row r="53" spans="1:18" s="6" customFormat="1" ht="30.75">
      <c r="A53" s="8"/>
      <c r="B53" s="12" t="s">
        <v>45</v>
      </c>
      <c r="C53" s="48">
        <v>31010200</v>
      </c>
      <c r="D53" s="33">
        <v>3</v>
      </c>
      <c r="E53" s="33">
        <v>1</v>
      </c>
      <c r="F53" s="117">
        <v>0</v>
      </c>
      <c r="G53" s="36">
        <f t="shared" si="10"/>
        <v>-1</v>
      </c>
      <c r="H53" s="32">
        <f t="shared" si="15"/>
        <v>0</v>
      </c>
      <c r="I53" s="42">
        <f t="shared" si="11"/>
        <v>-3</v>
      </c>
      <c r="J53" s="42">
        <f t="shared" si="16"/>
        <v>0</v>
      </c>
      <c r="K53" s="42">
        <f>F53-1.8</f>
        <v>-1.8</v>
      </c>
      <c r="L53" s="42">
        <f>F53/1.8*100</f>
        <v>0</v>
      </c>
      <c r="M53" s="32">
        <f t="shared" si="12"/>
        <v>1</v>
      </c>
      <c r="N53" s="32">
        <f t="shared" si="13"/>
        <v>0</v>
      </c>
      <c r="O53" s="40">
        <f t="shared" si="14"/>
        <v>-1</v>
      </c>
      <c r="P53" s="42">
        <f t="shared" si="17"/>
        <v>0</v>
      </c>
      <c r="Q53" s="42"/>
      <c r="R53" s="100"/>
    </row>
    <row r="54" spans="1:18" s="6" customFormat="1" ht="30.75">
      <c r="A54" s="8"/>
      <c r="B54" s="12" t="s">
        <v>58</v>
      </c>
      <c r="C54" s="48">
        <v>31020000</v>
      </c>
      <c r="D54" s="33">
        <v>0</v>
      </c>
      <c r="E54" s="33">
        <v>0</v>
      </c>
      <c r="F54" s="117">
        <v>0</v>
      </c>
      <c r="G54" s="36">
        <f t="shared" si="10"/>
        <v>0</v>
      </c>
      <c r="H54" s="32"/>
      <c r="I54" s="42">
        <f t="shared" si="11"/>
        <v>0</v>
      </c>
      <c r="J54" s="42"/>
      <c r="K54" s="42">
        <f>F54-0.02</f>
        <v>-0.02</v>
      </c>
      <c r="L54" s="42"/>
      <c r="M54" s="32">
        <f t="shared" si="12"/>
        <v>0</v>
      </c>
      <c r="N54" s="32">
        <f t="shared" si="13"/>
        <v>0</v>
      </c>
      <c r="O54" s="40">
        <f t="shared" si="14"/>
        <v>0</v>
      </c>
      <c r="P54" s="42"/>
      <c r="Q54" s="42"/>
      <c r="R54" s="100"/>
    </row>
    <row r="55" spans="1:20" s="6" customFormat="1" ht="17.25">
      <c r="A55" s="9"/>
      <c r="B55" s="14" t="s">
        <v>28</v>
      </c>
      <c r="C55" s="67"/>
      <c r="D55" s="15">
        <f>D8+D33+D53+D54</f>
        <v>162278.69999999998</v>
      </c>
      <c r="E55" s="15">
        <f>E8+E33+E53+E54</f>
        <v>54332.799999999996</v>
      </c>
      <c r="F55" s="15">
        <f>F8+F33+F53+F54</f>
        <v>9254.750000000002</v>
      </c>
      <c r="G55" s="37">
        <f>F55-E55</f>
        <v>-45078.049999999996</v>
      </c>
      <c r="H55" s="38">
        <f>F55/E55*100</f>
        <v>17.033449408092356</v>
      </c>
      <c r="I55" s="28">
        <f>F55-D55</f>
        <v>-153023.94999999998</v>
      </c>
      <c r="J55" s="28">
        <f>F55/D55*100</f>
        <v>5.702997374270315</v>
      </c>
      <c r="K55" s="28">
        <f>K8+K33+K53+K54</f>
        <v>-29483.76</v>
      </c>
      <c r="L55" s="28">
        <f>F55/38738.5*100</f>
        <v>23.890315835667366</v>
      </c>
      <c r="M55" s="15">
        <f>M8+M33+M53+M54</f>
        <v>54332.799999999996</v>
      </c>
      <c r="N55" s="15">
        <f>N8+N33+N53+N54</f>
        <v>9254.750000000002</v>
      </c>
      <c r="O55" s="41">
        <f>N55-M55</f>
        <v>-45078.049999999996</v>
      </c>
      <c r="P55" s="28">
        <f>N55/M55*100</f>
        <v>17.033449408092356</v>
      </c>
      <c r="Q55" s="28">
        <f>N55-34768</f>
        <v>-25513.25</v>
      </c>
      <c r="R55" s="128">
        <f>N55/34768</f>
        <v>0.26618586056143584</v>
      </c>
      <c r="T55" s="149"/>
    </row>
    <row r="56" spans="1:18" s="53" customFormat="1" ht="17.25" hidden="1">
      <c r="A56" s="50"/>
      <c r="B56" s="60"/>
      <c r="C56" s="68"/>
      <c r="D56" s="51"/>
      <c r="E56" s="51"/>
      <c r="F56" s="88"/>
      <c r="G56" s="82"/>
      <c r="H56" s="52"/>
      <c r="I56" s="59"/>
      <c r="J56" s="39"/>
      <c r="K56" s="39"/>
      <c r="L56" s="39"/>
      <c r="M56" s="52"/>
      <c r="N56" s="51"/>
      <c r="O56" s="85"/>
      <c r="P56" s="39"/>
      <c r="Q56" s="39"/>
      <c r="R56" s="102"/>
    </row>
    <row r="57" spans="1:18" s="53" customFormat="1" ht="17.25" hidden="1">
      <c r="A57" s="50"/>
      <c r="B57" s="61"/>
      <c r="C57" s="68"/>
      <c r="D57" s="62"/>
      <c r="E57" s="51"/>
      <c r="F57" s="88"/>
      <c r="G57" s="45"/>
      <c r="H57" s="52"/>
      <c r="I57" s="63"/>
      <c r="J57" s="39"/>
      <c r="K57" s="39"/>
      <c r="L57" s="39"/>
      <c r="M57" s="32"/>
      <c r="N57" s="51"/>
      <c r="O57" s="64"/>
      <c r="P57" s="39"/>
      <c r="Q57" s="39"/>
      <c r="R57" s="102"/>
    </row>
    <row r="58" spans="1:18" s="53" customFormat="1" ht="17.25" hidden="1">
      <c r="A58" s="50"/>
      <c r="B58" s="61"/>
      <c r="C58" s="68"/>
      <c r="D58" s="62"/>
      <c r="E58" s="36"/>
      <c r="F58" s="121"/>
      <c r="G58" s="45"/>
      <c r="H58" s="52"/>
      <c r="I58" s="63"/>
      <c r="J58" s="39"/>
      <c r="K58" s="39"/>
      <c r="L58" s="39"/>
      <c r="M58" s="32"/>
      <c r="N58" s="62"/>
      <c r="O58" s="85"/>
      <c r="P58" s="39"/>
      <c r="Q58" s="39"/>
      <c r="R58" s="102"/>
    </row>
    <row r="59" spans="2:18" ht="15">
      <c r="B59" s="22" t="s">
        <v>29</v>
      </c>
      <c r="C59" s="69"/>
      <c r="D59" s="25"/>
      <c r="E59" s="25"/>
      <c r="F59" s="120"/>
      <c r="G59" s="36"/>
      <c r="H59" s="32"/>
      <c r="I59" s="43"/>
      <c r="J59" s="43"/>
      <c r="K59" s="43"/>
      <c r="L59" s="43"/>
      <c r="M59" s="33"/>
      <c r="N59" s="33"/>
      <c r="O59" s="40"/>
      <c r="P59" s="43"/>
      <c r="Q59" s="43"/>
      <c r="R59" s="103"/>
    </row>
    <row r="60" spans="2:18" ht="15">
      <c r="B60" s="136"/>
      <c r="C60" s="139"/>
      <c r="D60" s="25"/>
      <c r="E60" s="25"/>
      <c r="F60" s="120">
        <v>0</v>
      </c>
      <c r="G60" s="36"/>
      <c r="H60" s="32"/>
      <c r="I60" s="43"/>
      <c r="J60" s="43"/>
      <c r="K60" s="43"/>
      <c r="L60" s="43"/>
      <c r="M60" s="33"/>
      <c r="N60" s="33">
        <f>F60</f>
        <v>0</v>
      </c>
      <c r="O60" s="40"/>
      <c r="P60" s="43"/>
      <c r="Q60" s="43"/>
      <c r="R60" s="103"/>
    </row>
    <row r="61" spans="2:18" ht="30.75">
      <c r="B61" s="23" t="s">
        <v>63</v>
      </c>
      <c r="C61" s="78">
        <v>18041500</v>
      </c>
      <c r="D61" s="25">
        <v>0</v>
      </c>
      <c r="E61" s="25">
        <v>0</v>
      </c>
      <c r="F61" s="120">
        <v>-0.27</v>
      </c>
      <c r="G61" s="36">
        <f>F61-E61</f>
        <v>-0.27</v>
      </c>
      <c r="H61" s="32"/>
      <c r="I61" s="43">
        <f>F61-D61</f>
        <v>-0.27</v>
      </c>
      <c r="J61" s="43"/>
      <c r="K61" s="40">
        <f>F61-4.4</f>
        <v>-4.67</v>
      </c>
      <c r="L61" s="43"/>
      <c r="M61" s="32">
        <v>0</v>
      </c>
      <c r="N61" s="33">
        <f>F61</f>
        <v>-0.27</v>
      </c>
      <c r="O61" s="40">
        <f>N61-M61</f>
        <v>-0.27</v>
      </c>
      <c r="P61" s="43"/>
      <c r="Q61" s="43">
        <f>N61-24.53</f>
        <v>-24.8</v>
      </c>
      <c r="R61" s="103">
        <f>N61/24.53</f>
        <v>-0.0110069302894415</v>
      </c>
    </row>
    <row r="62" spans="2:18" ht="15">
      <c r="B62" s="29" t="s">
        <v>46</v>
      </c>
      <c r="C62" s="79"/>
      <c r="D62" s="30">
        <f>D61</f>
        <v>0</v>
      </c>
      <c r="E62" s="30">
        <f>E61</f>
        <v>0</v>
      </c>
      <c r="F62" s="119">
        <f>SUM(F60:F61)</f>
        <v>-0.27</v>
      </c>
      <c r="G62" s="45">
        <f>F62-E62</f>
        <v>-0.27</v>
      </c>
      <c r="H62" s="52"/>
      <c r="I62" s="44">
        <f>F62-D62</f>
        <v>-0.27</v>
      </c>
      <c r="J62" s="44"/>
      <c r="K62" s="44">
        <f>K60+K61</f>
        <v>-4.67</v>
      </c>
      <c r="L62" s="44"/>
      <c r="M62" s="45">
        <f>M61</f>
        <v>0</v>
      </c>
      <c r="N62" s="30">
        <f>SUM(N60:N61)</f>
        <v>-0.27</v>
      </c>
      <c r="O62" s="44">
        <f>N62-M62</f>
        <v>-0.27</v>
      </c>
      <c r="P62" s="44"/>
      <c r="Q62" s="44">
        <f>N62-92.85</f>
        <v>-93.11999999999999</v>
      </c>
      <c r="R62" s="104">
        <f>N62/92.85</f>
        <v>-0.0029079159935379646</v>
      </c>
    </row>
    <row r="63" spans="2:18" ht="46.5" hidden="1">
      <c r="B63" s="23" t="s">
        <v>38</v>
      </c>
      <c r="C63" s="79">
        <v>21110000</v>
      </c>
      <c r="D63" s="25">
        <v>0</v>
      </c>
      <c r="E63" s="25"/>
      <c r="F63" s="120">
        <v>0</v>
      </c>
      <c r="G63" s="36" t="e">
        <f>#N/A</f>
        <v>#N/A</v>
      </c>
      <c r="H63" s="32" t="e">
        <f>F63/E63*100</f>
        <v>#DIV/0!</v>
      </c>
      <c r="I63" s="43" t="e">
        <f>#N/A</f>
        <v>#N/A</v>
      </c>
      <c r="J63" s="43" t="e">
        <f>#N/A</f>
        <v>#N/A</v>
      </c>
      <c r="K63" s="43"/>
      <c r="L63" s="43"/>
      <c r="M63" s="33">
        <v>0</v>
      </c>
      <c r="N63" s="33">
        <f>F63</f>
        <v>0</v>
      </c>
      <c r="O63" s="40" t="e">
        <f>#N/A</f>
        <v>#N/A</v>
      </c>
      <c r="P63" s="43"/>
      <c r="Q63" s="43"/>
      <c r="R63" s="103"/>
    </row>
    <row r="64" spans="2:18" ht="30.75">
      <c r="B64" s="23" t="s">
        <v>30</v>
      </c>
      <c r="C64" s="78">
        <v>31030000</v>
      </c>
      <c r="D64" s="25">
        <v>0</v>
      </c>
      <c r="E64" s="25">
        <v>0</v>
      </c>
      <c r="F64" s="120">
        <v>0</v>
      </c>
      <c r="G64" s="36">
        <f aca="true" t="shared" si="18" ref="G64:G72">F64-E64</f>
        <v>0</v>
      </c>
      <c r="H64" s="32"/>
      <c r="I64" s="43">
        <f aca="true" t="shared" si="19" ref="I64:I72">F64-D64</f>
        <v>0</v>
      </c>
      <c r="J64" s="43"/>
      <c r="K64" s="43">
        <f>F64-0.03</f>
        <v>-0.03</v>
      </c>
      <c r="L64" s="43">
        <f>F64/0.03*100</f>
        <v>0</v>
      </c>
      <c r="M64" s="32">
        <f>E64</f>
        <v>0</v>
      </c>
      <c r="N64" s="32">
        <f>F64</f>
        <v>0</v>
      </c>
      <c r="O64" s="40">
        <f aca="true" t="shared" si="20" ref="O64:O75">N64-M64</f>
        <v>0</v>
      </c>
      <c r="P64" s="43"/>
      <c r="Q64" s="43">
        <f>N64-0.04</f>
        <v>-0.04</v>
      </c>
      <c r="R64" s="103">
        <f>N64/0.04</f>
        <v>0</v>
      </c>
    </row>
    <row r="65" spans="2:18" ht="15">
      <c r="B65" s="23" t="s">
        <v>31</v>
      </c>
      <c r="C65" s="78">
        <v>33010000</v>
      </c>
      <c r="D65" s="25">
        <v>0</v>
      </c>
      <c r="E65" s="25">
        <v>0</v>
      </c>
      <c r="F65" s="120">
        <v>0</v>
      </c>
      <c r="G65" s="36">
        <f t="shared" si="18"/>
        <v>0</v>
      </c>
      <c r="H65" s="32"/>
      <c r="I65" s="43">
        <f t="shared" si="19"/>
        <v>0</v>
      </c>
      <c r="J65" s="43"/>
      <c r="K65" s="43">
        <f>F65-259.69</f>
        <v>-259.69</v>
      </c>
      <c r="L65" s="43">
        <f>F65/259.69*100</f>
        <v>0</v>
      </c>
      <c r="M65" s="32">
        <f>E65</f>
        <v>0</v>
      </c>
      <c r="N65" s="32">
        <f>F65</f>
        <v>0</v>
      </c>
      <c r="O65" s="40">
        <f t="shared" si="20"/>
        <v>0</v>
      </c>
      <c r="P65" s="43"/>
      <c r="Q65" s="43">
        <f>N65-450.01</f>
        <v>-450.01</v>
      </c>
      <c r="R65" s="103">
        <f>N65/450.01</f>
        <v>0</v>
      </c>
    </row>
    <row r="66" spans="2:18" ht="30.75">
      <c r="B66" s="23" t="s">
        <v>55</v>
      </c>
      <c r="C66" s="78">
        <v>24170000</v>
      </c>
      <c r="D66" s="25">
        <v>0</v>
      </c>
      <c r="E66" s="25">
        <v>0</v>
      </c>
      <c r="F66" s="120">
        <v>2.72</v>
      </c>
      <c r="G66" s="36">
        <f t="shared" si="18"/>
        <v>2.72</v>
      </c>
      <c r="H66" s="32"/>
      <c r="I66" s="43">
        <f t="shared" si="19"/>
        <v>2.72</v>
      </c>
      <c r="J66" s="43"/>
      <c r="K66" s="43">
        <f>F66-(-16.04)</f>
        <v>18.759999999999998</v>
      </c>
      <c r="L66" s="43">
        <f>F66/(-16.04)*100</f>
        <v>-16.957605985037407</v>
      </c>
      <c r="M66" s="32">
        <f>E66</f>
        <v>0</v>
      </c>
      <c r="N66" s="32">
        <f>F66</f>
        <v>2.72</v>
      </c>
      <c r="O66" s="40">
        <f t="shared" si="20"/>
        <v>2.72</v>
      </c>
      <c r="P66" s="43"/>
      <c r="Q66" s="43">
        <f>N66-1.05</f>
        <v>1.6700000000000002</v>
      </c>
      <c r="R66" s="103">
        <f>N66/1.05</f>
        <v>2.5904761904761906</v>
      </c>
    </row>
    <row r="67" spans="2:18" ht="33">
      <c r="B67" s="29" t="s">
        <v>52</v>
      </c>
      <c r="C67" s="70"/>
      <c r="D67" s="30">
        <f>D64+D65+D66</f>
        <v>0</v>
      </c>
      <c r="E67" s="30">
        <f>E64+E65+E66</f>
        <v>0</v>
      </c>
      <c r="F67" s="119">
        <f>F64+F65+F66</f>
        <v>2.72</v>
      </c>
      <c r="G67" s="45">
        <f t="shared" si="18"/>
        <v>2.72</v>
      </c>
      <c r="H67" s="52"/>
      <c r="I67" s="44">
        <f t="shared" si="19"/>
        <v>2.72</v>
      </c>
      <c r="J67" s="44"/>
      <c r="K67" s="44">
        <f>K64+K65+K66</f>
        <v>-240.95999999999998</v>
      </c>
      <c r="L67" s="44">
        <f>F67/243.68*100</f>
        <v>1.1162179908076166</v>
      </c>
      <c r="M67" s="45">
        <f>M64+M65+M66</f>
        <v>0</v>
      </c>
      <c r="N67" s="45">
        <f>N64+N65+N66</f>
        <v>2.72</v>
      </c>
      <c r="O67" s="44">
        <f t="shared" si="20"/>
        <v>2.72</v>
      </c>
      <c r="P67" s="44"/>
      <c r="Q67" s="44">
        <f>N67-7985.28</f>
        <v>-7982.5599999999995</v>
      </c>
      <c r="R67" s="129">
        <f>N67/7985.28</f>
        <v>0.00034062675322593574</v>
      </c>
    </row>
    <row r="68" spans="2:18" ht="46.5">
      <c r="B68" s="12" t="s">
        <v>41</v>
      </c>
      <c r="C68" s="80">
        <v>24062100</v>
      </c>
      <c r="D68" s="25">
        <v>0</v>
      </c>
      <c r="E68" s="25">
        <v>0</v>
      </c>
      <c r="F68" s="120">
        <v>0</v>
      </c>
      <c r="G68" s="36">
        <f t="shared" si="18"/>
        <v>0</v>
      </c>
      <c r="H68" s="32"/>
      <c r="I68" s="43">
        <f t="shared" si="19"/>
        <v>0</v>
      </c>
      <c r="J68" s="43"/>
      <c r="K68" s="43">
        <f>F68-0</f>
        <v>0</v>
      </c>
      <c r="L68" s="43">
        <f>F68/35.01*100</f>
        <v>0</v>
      </c>
      <c r="M68" s="32">
        <f aca="true" t="shared" si="21" ref="M68:N70">E68</f>
        <v>0</v>
      </c>
      <c r="N68" s="32">
        <f t="shared" si="21"/>
        <v>0</v>
      </c>
      <c r="O68" s="40">
        <f t="shared" si="20"/>
        <v>0</v>
      </c>
      <c r="P68" s="43"/>
      <c r="Q68" s="43">
        <f>N68-0.16</f>
        <v>-0.16</v>
      </c>
      <c r="R68" s="103">
        <f>N68/0.16</f>
        <v>0</v>
      </c>
    </row>
    <row r="69" spans="2:18" ht="15">
      <c r="B69" s="23" t="s">
        <v>53</v>
      </c>
      <c r="C69" s="78">
        <v>24061600</v>
      </c>
      <c r="D69" s="25">
        <v>0</v>
      </c>
      <c r="E69" s="25">
        <v>0</v>
      </c>
      <c r="F69" s="120">
        <v>0</v>
      </c>
      <c r="G69" s="36">
        <f t="shared" si="18"/>
        <v>0</v>
      </c>
      <c r="H69" s="32"/>
      <c r="I69" s="43">
        <f t="shared" si="19"/>
        <v>0</v>
      </c>
      <c r="J69" s="46"/>
      <c r="K69" s="40">
        <f>F69-0</f>
        <v>0</v>
      </c>
      <c r="L69" s="43">
        <f>F69/19.48*100</f>
        <v>0</v>
      </c>
      <c r="M69" s="32">
        <f t="shared" si="21"/>
        <v>0</v>
      </c>
      <c r="N69" s="32">
        <f t="shared" si="21"/>
        <v>0</v>
      </c>
      <c r="O69" s="40">
        <f t="shared" si="20"/>
        <v>0</v>
      </c>
      <c r="P69" s="46"/>
      <c r="Q69" s="46">
        <f>N69-8.76</f>
        <v>-8.76</v>
      </c>
      <c r="R69" s="105">
        <f>N69/8.76</f>
        <v>0</v>
      </c>
    </row>
    <row r="70" spans="2:18" ht="30.75">
      <c r="B70" s="23" t="s">
        <v>51</v>
      </c>
      <c r="C70" s="78">
        <v>19050000</v>
      </c>
      <c r="D70" s="25">
        <v>0</v>
      </c>
      <c r="E70" s="25">
        <v>0</v>
      </c>
      <c r="F70" s="120">
        <v>0</v>
      </c>
      <c r="G70" s="36">
        <f t="shared" si="18"/>
        <v>0</v>
      </c>
      <c r="H70" s="32"/>
      <c r="I70" s="43">
        <f t="shared" si="19"/>
        <v>0</v>
      </c>
      <c r="J70" s="43"/>
      <c r="K70" s="43">
        <f>F70-0.17</f>
        <v>-0.17</v>
      </c>
      <c r="L70" s="43">
        <f>F70/0.17*100</f>
        <v>0</v>
      </c>
      <c r="M70" s="32">
        <f t="shared" si="21"/>
        <v>0</v>
      </c>
      <c r="N70" s="32">
        <f t="shared" si="21"/>
        <v>0</v>
      </c>
      <c r="O70" s="40">
        <f t="shared" si="20"/>
        <v>0</v>
      </c>
      <c r="P70" s="43"/>
      <c r="Q70" s="43">
        <f>N70-(-0.21)</f>
        <v>0.21</v>
      </c>
      <c r="R70" s="103"/>
    </row>
    <row r="71" spans="2:18" ht="30">
      <c r="B71" s="29" t="s">
        <v>48</v>
      </c>
      <c r="C71" s="78"/>
      <c r="D71" s="30">
        <f>D68+D70+D69</f>
        <v>0</v>
      </c>
      <c r="E71" s="30">
        <f>E68+E70+E69</f>
        <v>0</v>
      </c>
      <c r="F71" s="119">
        <f>F68+F70+F69</f>
        <v>0</v>
      </c>
      <c r="G71" s="45">
        <f t="shared" si="18"/>
        <v>0</v>
      </c>
      <c r="H71" s="52"/>
      <c r="I71" s="44">
        <f t="shared" si="19"/>
        <v>0</v>
      </c>
      <c r="J71" s="44"/>
      <c r="K71" s="44">
        <f>K68+K69+K70</f>
        <v>-0.17</v>
      </c>
      <c r="L71" s="44">
        <f>F71/0.17*100</f>
        <v>0</v>
      </c>
      <c r="M71" s="45">
        <f>M68+M70+M69</f>
        <v>0</v>
      </c>
      <c r="N71" s="45">
        <f>N68+N70+N69</f>
        <v>0</v>
      </c>
      <c r="O71" s="44">
        <f t="shared" si="20"/>
        <v>0</v>
      </c>
      <c r="P71" s="44"/>
      <c r="Q71" s="44">
        <f>N71-26.38</f>
        <v>-26.38</v>
      </c>
      <c r="R71" s="102">
        <f>N71/26.38</f>
        <v>0</v>
      </c>
    </row>
    <row r="72" spans="2:18" ht="30.75">
      <c r="B72" s="12" t="s">
        <v>42</v>
      </c>
      <c r="C72" s="48">
        <v>24110900</v>
      </c>
      <c r="D72" s="25">
        <v>0</v>
      </c>
      <c r="E72" s="25">
        <v>0</v>
      </c>
      <c r="F72" s="120">
        <v>0</v>
      </c>
      <c r="G72" s="36">
        <f t="shared" si="18"/>
        <v>0</v>
      </c>
      <c r="H72" s="32"/>
      <c r="I72" s="43">
        <f t="shared" si="19"/>
        <v>0</v>
      </c>
      <c r="J72" s="43"/>
      <c r="K72" s="43">
        <f>F72-0.59</f>
        <v>-0.59</v>
      </c>
      <c r="L72" s="43">
        <f>F72/0.59*100</f>
        <v>0</v>
      </c>
      <c r="M72" s="32">
        <f>E72</f>
        <v>0</v>
      </c>
      <c r="N72" s="32">
        <f>F72</f>
        <v>0</v>
      </c>
      <c r="O72" s="40">
        <f t="shared" si="20"/>
        <v>0</v>
      </c>
      <c r="P72" s="43"/>
      <c r="Q72" s="43">
        <f>N72-0.45</f>
        <v>-0.45</v>
      </c>
      <c r="R72" s="103">
        <f>N72/0.45</f>
        <v>0</v>
      </c>
    </row>
    <row r="73" spans="2:18" ht="15">
      <c r="B73" s="138" t="s">
        <v>113</v>
      </c>
      <c r="C73" s="48">
        <v>24110700</v>
      </c>
      <c r="D73" s="25"/>
      <c r="E73" s="25"/>
      <c r="F73" s="120">
        <v>1</v>
      </c>
      <c r="G73" s="36"/>
      <c r="H73" s="32"/>
      <c r="I73" s="43"/>
      <c r="J73" s="43"/>
      <c r="K73" s="43">
        <f>F73-0</f>
        <v>1</v>
      </c>
      <c r="L73" s="43"/>
      <c r="M73" s="32">
        <f>E73</f>
        <v>0</v>
      </c>
      <c r="N73" s="32">
        <f>F73</f>
        <v>1</v>
      </c>
      <c r="O73" s="40">
        <f t="shared" si="20"/>
        <v>1</v>
      </c>
      <c r="P73" s="43"/>
      <c r="Q73" s="43"/>
      <c r="R73" s="103"/>
    </row>
    <row r="74" spans="2:18" ht="23.25" customHeight="1">
      <c r="B74" s="14" t="s">
        <v>32</v>
      </c>
      <c r="C74" s="71"/>
      <c r="D74" s="24">
        <f>D62+D72+D67+D71</f>
        <v>0</v>
      </c>
      <c r="E74" s="24">
        <f>E62+E72+E67+E71</f>
        <v>0</v>
      </c>
      <c r="F74" s="24">
        <f>F62+F72+F67+F71+F73</f>
        <v>3.45</v>
      </c>
      <c r="G74" s="37">
        <f>F74-E74</f>
        <v>3.45</v>
      </c>
      <c r="H74" s="38"/>
      <c r="I74" s="28">
        <f>F74-D74</f>
        <v>3.45</v>
      </c>
      <c r="J74" s="28"/>
      <c r="K74" s="28">
        <f>K62+K67+K71+K72</f>
        <v>-246.38999999999996</v>
      </c>
      <c r="L74" s="28">
        <f>F74/248.84*100</f>
        <v>1.3864330493489794</v>
      </c>
      <c r="M74" s="24">
        <f>M62+M72+M67+M71</f>
        <v>0</v>
      </c>
      <c r="N74" s="24">
        <f>N62+N72+N67+N71+N73</f>
        <v>3.45</v>
      </c>
      <c r="O74" s="28">
        <f t="shared" si="20"/>
        <v>3.45</v>
      </c>
      <c r="P74" s="28"/>
      <c r="Q74" s="28">
        <f>N74-8104.96</f>
        <v>-8101.51</v>
      </c>
      <c r="R74" s="101">
        <f>N74/8104.96</f>
        <v>0.0004256652716361339</v>
      </c>
    </row>
    <row r="75" spans="2:18" ht="17.25">
      <c r="B75" s="21" t="s">
        <v>33</v>
      </c>
      <c r="C75" s="71"/>
      <c r="D75" s="24">
        <f>D55+D74</f>
        <v>162278.69999999998</v>
      </c>
      <c r="E75" s="24">
        <f>E55+E74</f>
        <v>54332.799999999996</v>
      </c>
      <c r="F75" s="24">
        <f>F55+F74</f>
        <v>9258.200000000003</v>
      </c>
      <c r="G75" s="37">
        <f>F75-E75</f>
        <v>-45074.59999999999</v>
      </c>
      <c r="H75" s="38">
        <f>F75/E75*100</f>
        <v>17.03979916367278</v>
      </c>
      <c r="I75" s="28">
        <f>F75-D75</f>
        <v>-153020.49999999997</v>
      </c>
      <c r="J75" s="28">
        <f>F75/D75*100</f>
        <v>5.705123346440416</v>
      </c>
      <c r="K75" s="28">
        <f>K55+K74</f>
        <v>-29730.149999999998</v>
      </c>
      <c r="L75" s="28">
        <f>F75/38987.36*100</f>
        <v>23.74667071584227</v>
      </c>
      <c r="M75" s="15">
        <f>M55+M74</f>
        <v>54332.799999999996</v>
      </c>
      <c r="N75" s="15">
        <f>N55+N74</f>
        <v>9258.200000000003</v>
      </c>
      <c r="O75" s="28">
        <f t="shared" si="20"/>
        <v>-45074.59999999999</v>
      </c>
      <c r="P75" s="28">
        <f>N75/M75*100</f>
        <v>17.03979916367278</v>
      </c>
      <c r="Q75" s="28">
        <f>N75-42872.96</f>
        <v>-33614.759999999995</v>
      </c>
      <c r="R75" s="101">
        <f>N75/42872.96</f>
        <v>0.2159449685769306</v>
      </c>
    </row>
    <row r="76" spans="2:14" ht="15">
      <c r="B76" s="20" t="s">
        <v>35</v>
      </c>
      <c r="N76" s="26"/>
    </row>
    <row r="77" spans="2:4" ht="15">
      <c r="B77" s="4" t="s">
        <v>37</v>
      </c>
      <c r="C77" s="81">
        <v>16</v>
      </c>
      <c r="D77" s="4" t="s">
        <v>36</v>
      </c>
    </row>
    <row r="78" spans="2:17" ht="30.75">
      <c r="B78" s="57" t="s">
        <v>54</v>
      </c>
      <c r="C78" s="31">
        <f>IF(O55&lt;0,ABS(O55/C77),0)</f>
        <v>2817.3781249999997</v>
      </c>
      <c r="D78" s="4" t="s">
        <v>24</v>
      </c>
      <c r="G78" s="174"/>
      <c r="H78" s="174"/>
      <c r="I78" s="174"/>
      <c r="J78" s="174"/>
      <c r="K78" s="90"/>
      <c r="L78" s="90"/>
      <c r="P78" s="26"/>
      <c r="Q78" s="26"/>
    </row>
    <row r="79" spans="2:15" ht="34.5" customHeight="1">
      <c r="B79" s="58" t="s">
        <v>56</v>
      </c>
      <c r="C79" s="87">
        <v>42380</v>
      </c>
      <c r="D79" s="31">
        <v>2668.3</v>
      </c>
      <c r="G79" s="4" t="s">
        <v>59</v>
      </c>
      <c r="N79" s="175"/>
      <c r="O79" s="175"/>
    </row>
    <row r="80" spans="3:15" ht="15">
      <c r="C80" s="87">
        <v>42375</v>
      </c>
      <c r="D80" s="31">
        <v>4038.8</v>
      </c>
      <c r="F80" s="124" t="s">
        <v>59</v>
      </c>
      <c r="G80" s="176"/>
      <c r="H80" s="176"/>
      <c r="I80" s="131"/>
      <c r="J80" s="177"/>
      <c r="K80" s="177"/>
      <c r="L80" s="177"/>
      <c r="M80" s="177"/>
      <c r="N80" s="175"/>
      <c r="O80" s="175"/>
    </row>
    <row r="81" spans="3:15" ht="15.75" customHeight="1">
      <c r="C81" s="87">
        <v>42374</v>
      </c>
      <c r="D81" s="31">
        <v>2547.6</v>
      </c>
      <c r="F81" s="73"/>
      <c r="G81" s="176"/>
      <c r="H81" s="176"/>
      <c r="I81" s="131"/>
      <c r="J81" s="180"/>
      <c r="K81" s="180"/>
      <c r="L81" s="180"/>
      <c r="M81" s="180"/>
      <c r="N81" s="175"/>
      <c r="O81" s="175"/>
    </row>
    <row r="82" spans="3:13" ht="15.75" customHeight="1">
      <c r="C82" s="87"/>
      <c r="F82" s="73"/>
      <c r="G82" s="181"/>
      <c r="H82" s="181"/>
      <c r="I82" s="141"/>
      <c r="J82" s="177"/>
      <c r="K82" s="177"/>
      <c r="L82" s="177"/>
      <c r="M82" s="177"/>
    </row>
    <row r="83" spans="2:13" ht="18.75" customHeight="1">
      <c r="B83" s="182" t="s">
        <v>57</v>
      </c>
      <c r="C83" s="183"/>
      <c r="D83" s="150">
        <v>58547.33043</v>
      </c>
      <c r="E83" s="74"/>
      <c r="F83" s="142"/>
      <c r="G83" s="176"/>
      <c r="H83" s="176"/>
      <c r="I83" s="143"/>
      <c r="J83" s="177"/>
      <c r="K83" s="177"/>
      <c r="L83" s="177"/>
      <c r="M83" s="177"/>
    </row>
    <row r="84" spans="6:12" ht="9.75" customHeight="1">
      <c r="F84" s="73"/>
      <c r="G84" s="176"/>
      <c r="H84" s="176"/>
      <c r="I84" s="73"/>
      <c r="J84" s="74"/>
      <c r="K84" s="74"/>
      <c r="L84" s="74"/>
    </row>
    <row r="85" spans="2:12" ht="22.5" customHeight="1" hidden="1">
      <c r="B85" s="184" t="s">
        <v>60</v>
      </c>
      <c r="C85" s="185"/>
      <c r="D85" s="86">
        <v>0</v>
      </c>
      <c r="E85" s="56" t="s">
        <v>24</v>
      </c>
      <c r="F85" s="73"/>
      <c r="G85" s="176"/>
      <c r="H85" s="176"/>
      <c r="I85" s="73"/>
      <c r="J85" s="74"/>
      <c r="K85" s="74"/>
      <c r="L85" s="74"/>
    </row>
    <row r="86" spans="4:15" ht="15">
      <c r="D86" s="84"/>
      <c r="F86" s="73"/>
      <c r="G86" s="74"/>
      <c r="H86" s="74"/>
      <c r="I86" s="74"/>
      <c r="N86" s="176"/>
      <c r="O86" s="176"/>
    </row>
    <row r="87" spans="4:15" ht="15">
      <c r="D87" s="83"/>
      <c r="I87" s="31"/>
      <c r="N87" s="186"/>
      <c r="O87" s="186"/>
    </row>
    <row r="88" spans="14:15" ht="15">
      <c r="N88" s="176"/>
      <c r="O88" s="176"/>
    </row>
    <row r="92" ht="15">
      <c r="E92" s="4" t="s">
        <v>59</v>
      </c>
    </row>
  </sheetData>
  <sheetProtection/>
  <mergeCells count="39">
    <mergeCell ref="G84:H84"/>
    <mergeCell ref="N88:O88"/>
    <mergeCell ref="B85:C85"/>
    <mergeCell ref="G85:H85"/>
    <mergeCell ref="N86:O86"/>
    <mergeCell ref="N87:O87"/>
    <mergeCell ref="G81:H81"/>
    <mergeCell ref="J81:M81"/>
    <mergeCell ref="N81:O81"/>
    <mergeCell ref="G82:H82"/>
    <mergeCell ref="J82:M82"/>
    <mergeCell ref="B83:C83"/>
    <mergeCell ref="G83:H83"/>
    <mergeCell ref="J83:M83"/>
    <mergeCell ref="G78:J78"/>
    <mergeCell ref="N79:O79"/>
    <mergeCell ref="G80:H80"/>
    <mergeCell ref="J80:M80"/>
    <mergeCell ref="N80:O80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24" bottom="0.39" header="0.18" footer="0.29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2016-01-11T14:37:06Z</cp:lastPrinted>
  <dcterms:created xsi:type="dcterms:W3CDTF">2003-07-28T11:27:56Z</dcterms:created>
  <dcterms:modified xsi:type="dcterms:W3CDTF">2016-01-12T14:18:27Z</dcterms:modified>
  <cp:category/>
  <cp:version/>
  <cp:contentType/>
  <cp:contentStatus/>
</cp:coreProperties>
</file>